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475" windowHeight="11760"/>
  </bookViews>
  <sheets>
    <sheet name="Old Orchard Value" sheetId="1" r:id="rId1"/>
  </sheets>
  <calcPr calcId="125725"/>
</workbook>
</file>

<file path=xl/calcChain.xml><?xml version="1.0" encoding="utf-8"?>
<calcChain xmlns="http://schemas.openxmlformats.org/spreadsheetml/2006/main">
  <c r="D34" i="1"/>
  <c r="E34"/>
  <c r="F34"/>
  <c r="G34"/>
  <c r="H34"/>
  <c r="J33"/>
  <c r="J34" s="1"/>
  <c r="K33"/>
  <c r="K34" s="1"/>
  <c r="L33"/>
  <c r="L34" s="1"/>
  <c r="M33"/>
  <c r="M34" s="1"/>
  <c r="N33"/>
  <c r="N34" s="1"/>
  <c r="O33"/>
  <c r="O34" s="1"/>
  <c r="P33"/>
  <c r="P34" s="1"/>
  <c r="Q33"/>
  <c r="Q34" s="1"/>
  <c r="R33"/>
  <c r="R34" s="1"/>
  <c r="S33"/>
  <c r="S34" s="1"/>
  <c r="T33"/>
  <c r="T34" s="1"/>
  <c r="U33"/>
  <c r="U34" s="1"/>
  <c r="V33"/>
  <c r="V34" s="1"/>
  <c r="W33"/>
  <c r="W34" s="1"/>
  <c r="X33"/>
  <c r="X34" s="1"/>
  <c r="Y33"/>
  <c r="Y34" s="1"/>
  <c r="Z33"/>
  <c r="Z34" s="1"/>
  <c r="AA33"/>
  <c r="AA34" s="1"/>
  <c r="AB33"/>
  <c r="AB34" s="1"/>
  <c r="AC33"/>
  <c r="AC34" s="1"/>
  <c r="AD33"/>
  <c r="AD34" s="1"/>
  <c r="AE33"/>
  <c r="AE34" s="1"/>
  <c r="AF33"/>
  <c r="AF34" s="1"/>
  <c r="AG33"/>
  <c r="AG34" s="1"/>
  <c r="AH33"/>
  <c r="AH34" s="1"/>
  <c r="I33"/>
  <c r="I34" s="1"/>
  <c r="D32"/>
  <c r="E32"/>
  <c r="AE32" s="1"/>
  <c r="C32"/>
  <c r="E26"/>
  <c r="F26" s="1"/>
  <c r="G26" s="1"/>
  <c r="H26" s="1"/>
  <c r="I26" s="1"/>
  <c r="J26" s="1"/>
  <c r="K26" s="1"/>
  <c r="L26" s="1"/>
  <c r="M26" s="1"/>
  <c r="N26" s="1"/>
  <c r="O26" s="1"/>
  <c r="P26" s="1"/>
  <c r="Q26" s="1"/>
  <c r="R26" s="1"/>
  <c r="S26" s="1"/>
  <c r="T26" s="1"/>
  <c r="U26" s="1"/>
  <c r="V26" s="1"/>
  <c r="W26" s="1"/>
  <c r="X26" s="1"/>
  <c r="Y26" s="1"/>
  <c r="Z26" s="1"/>
  <c r="AA26" s="1"/>
  <c r="AB26" s="1"/>
  <c r="AC26" s="1"/>
  <c r="AD26" s="1"/>
  <c r="AE26" s="1"/>
  <c r="AF26" s="1"/>
  <c r="AG26" s="1"/>
  <c r="AH26" s="1"/>
  <c r="B5"/>
  <c r="D26" s="1"/>
  <c r="B51"/>
  <c r="E20"/>
  <c r="E22" s="1"/>
  <c r="F20"/>
  <c r="F22" s="1"/>
  <c r="G20"/>
  <c r="G22" s="1"/>
  <c r="I20"/>
  <c r="I22" s="1"/>
  <c r="U20"/>
  <c r="U22" s="1"/>
  <c r="Y20"/>
  <c r="Y22" s="1"/>
  <c r="C20"/>
  <c r="C22" s="1"/>
  <c r="D20"/>
  <c r="D22" s="1"/>
  <c r="J19"/>
  <c r="J20" s="1"/>
  <c r="J22" s="1"/>
  <c r="K19"/>
  <c r="K20" s="1"/>
  <c r="K22" s="1"/>
  <c r="L19"/>
  <c r="L20" s="1"/>
  <c r="L22" s="1"/>
  <c r="M19"/>
  <c r="M20" s="1"/>
  <c r="M22" s="1"/>
  <c r="N19"/>
  <c r="N20" s="1"/>
  <c r="N22" s="1"/>
  <c r="O19"/>
  <c r="O20" s="1"/>
  <c r="O22" s="1"/>
  <c r="P19"/>
  <c r="P20" s="1"/>
  <c r="P22" s="1"/>
  <c r="Q19"/>
  <c r="Q20" s="1"/>
  <c r="Q22" s="1"/>
  <c r="R19"/>
  <c r="R20" s="1"/>
  <c r="R22" s="1"/>
  <c r="S19"/>
  <c r="S20" s="1"/>
  <c r="S22" s="1"/>
  <c r="T19"/>
  <c r="T20" s="1"/>
  <c r="T22" s="1"/>
  <c r="U19"/>
  <c r="V19"/>
  <c r="V20" s="1"/>
  <c r="V22" s="1"/>
  <c r="W19"/>
  <c r="W20" s="1"/>
  <c r="W22" s="1"/>
  <c r="X19"/>
  <c r="X20" s="1"/>
  <c r="X22" s="1"/>
  <c r="Y19"/>
  <c r="H19"/>
  <c r="H20" s="1"/>
  <c r="H22" s="1"/>
  <c r="I19"/>
  <c r="F30"/>
  <c r="G30" s="1"/>
  <c r="H30" s="1"/>
  <c r="I30" s="1"/>
  <c r="J30" s="1"/>
  <c r="AG32" l="1"/>
  <c r="Y32"/>
  <c r="Q32"/>
  <c r="I32"/>
  <c r="AD32"/>
  <c r="V32"/>
  <c r="N32"/>
  <c r="C26"/>
  <c r="F32"/>
  <c r="AA32"/>
  <c r="W32"/>
  <c r="S32"/>
  <c r="O32"/>
  <c r="K32"/>
  <c r="G32"/>
  <c r="AF32"/>
  <c r="AB32"/>
  <c r="X32"/>
  <c r="T32"/>
  <c r="P32"/>
  <c r="L32"/>
  <c r="H32"/>
  <c r="AC32"/>
  <c r="U32"/>
  <c r="M32"/>
  <c r="AH32"/>
  <c r="Z32"/>
  <c r="R32"/>
  <c r="J32"/>
  <c r="Z19"/>
  <c r="Z20" s="1"/>
  <c r="Z22" s="1"/>
  <c r="AA19" l="1"/>
  <c r="B46"/>
  <c r="B44"/>
  <c r="B52" l="1"/>
  <c r="AB19"/>
  <c r="K30"/>
  <c r="L30" s="1"/>
  <c r="AC19" l="1"/>
  <c r="C23"/>
  <c r="C24" s="1"/>
  <c r="AB23"/>
  <c r="AF23"/>
  <c r="AA23"/>
  <c r="AE23"/>
  <c r="Z23"/>
  <c r="AD23"/>
  <c r="AH23"/>
  <c r="Y23"/>
  <c r="AC23"/>
  <c r="AG23"/>
  <c r="M23"/>
  <c r="M24" s="1"/>
  <c r="M27" s="1"/>
  <c r="M35" s="1"/>
  <c r="L23"/>
  <c r="L24" s="1"/>
  <c r="L27" s="1"/>
  <c r="L35" s="1"/>
  <c r="K23"/>
  <c r="K24" s="1"/>
  <c r="K27" s="1"/>
  <c r="I23"/>
  <c r="I24" s="1"/>
  <c r="I27" s="1"/>
  <c r="H23"/>
  <c r="H24" s="1"/>
  <c r="H27" s="1"/>
  <c r="X23"/>
  <c r="G23"/>
  <c r="G24" s="1"/>
  <c r="G27" s="1"/>
  <c r="W23"/>
  <c r="F23"/>
  <c r="F24" s="1"/>
  <c r="F27" s="1"/>
  <c r="V23"/>
  <c r="E23"/>
  <c r="E24" s="1"/>
  <c r="E27" s="1"/>
  <c r="U23"/>
  <c r="D23"/>
  <c r="D24" s="1"/>
  <c r="D27" s="1"/>
  <c r="T23"/>
  <c r="S23"/>
  <c r="R23"/>
  <c r="J23"/>
  <c r="J24" s="1"/>
  <c r="J27" s="1"/>
  <c r="Q23"/>
  <c r="P23"/>
  <c r="O23"/>
  <c r="N23"/>
  <c r="M30"/>
  <c r="N30" s="1"/>
  <c r="O30" s="1"/>
  <c r="P30" s="1"/>
  <c r="Q30" s="1"/>
  <c r="R30" s="1"/>
  <c r="S30" s="1"/>
  <c r="T30" s="1"/>
  <c r="U30" s="1"/>
  <c r="V30" s="1"/>
  <c r="W30" s="1"/>
  <c r="X30" s="1"/>
  <c r="Y30" s="1"/>
  <c r="Z30" s="1"/>
  <c r="AA30" s="1"/>
  <c r="AB30" s="1"/>
  <c r="AC30" s="1"/>
  <c r="AD30" s="1"/>
  <c r="AE30" s="1"/>
  <c r="AF30" s="1"/>
  <c r="AG30" s="1"/>
  <c r="AH30" s="1"/>
  <c r="Y24" l="1"/>
  <c r="Y27" s="1"/>
  <c r="Y35" s="1"/>
  <c r="Z36" s="1"/>
  <c r="AD19"/>
  <c r="C28"/>
  <c r="E28"/>
  <c r="G28"/>
  <c r="D28"/>
  <c r="F28"/>
  <c r="K28"/>
  <c r="J28"/>
  <c r="M28"/>
  <c r="I28"/>
  <c r="L28"/>
  <c r="H28"/>
  <c r="N24"/>
  <c r="N27" s="1"/>
  <c r="N35" s="1"/>
  <c r="O24"/>
  <c r="O27" s="1"/>
  <c r="O35" s="1"/>
  <c r="AE19" l="1"/>
  <c r="Y28"/>
  <c r="AA17"/>
  <c r="C29"/>
  <c r="C31" s="1"/>
  <c r="D29"/>
  <c r="D36" s="1"/>
  <c r="E29"/>
  <c r="E36" s="1"/>
  <c r="M29"/>
  <c r="M36" s="1"/>
  <c r="G29"/>
  <c r="G36" s="1"/>
  <c r="H29"/>
  <c r="H36" s="1"/>
  <c r="I29"/>
  <c r="I36" s="1"/>
  <c r="F29"/>
  <c r="F36" s="1"/>
  <c r="L29"/>
  <c r="L36" s="1"/>
  <c r="J29"/>
  <c r="J36" s="1"/>
  <c r="K29"/>
  <c r="O28"/>
  <c r="N28"/>
  <c r="P24"/>
  <c r="P27" s="1"/>
  <c r="P35" s="1"/>
  <c r="K31" l="1"/>
  <c r="K36"/>
  <c r="AA20"/>
  <c r="AA22" s="1"/>
  <c r="AF19"/>
  <c r="Y29"/>
  <c r="Y31" s="1"/>
  <c r="Z24"/>
  <c r="Z27" s="1"/>
  <c r="Z35" s="1"/>
  <c r="AA36" s="1"/>
  <c r="AB17"/>
  <c r="M31"/>
  <c r="D31"/>
  <c r="I31"/>
  <c r="H31"/>
  <c r="J31"/>
  <c r="G31"/>
  <c r="L31"/>
  <c r="F31"/>
  <c r="N29"/>
  <c r="N36" s="1"/>
  <c r="O29"/>
  <c r="O36" s="1"/>
  <c r="P28"/>
  <c r="Q24"/>
  <c r="Q27" s="1"/>
  <c r="Q35" s="1"/>
  <c r="AB20" l="1"/>
  <c r="AB22" s="1"/>
  <c r="AG19"/>
  <c r="Z28"/>
  <c r="AA24"/>
  <c r="AA27" s="1"/>
  <c r="AA35" s="1"/>
  <c r="AB36" s="1"/>
  <c r="AC17"/>
  <c r="O31"/>
  <c r="N31"/>
  <c r="P29"/>
  <c r="P36" s="1"/>
  <c r="Q28"/>
  <c r="R24"/>
  <c r="R27" s="1"/>
  <c r="R35" s="1"/>
  <c r="AC20" l="1"/>
  <c r="AC22" s="1"/>
  <c r="AH19"/>
  <c r="AA28"/>
  <c r="AB24"/>
  <c r="AB27" s="1"/>
  <c r="AB35" s="1"/>
  <c r="AC36" s="1"/>
  <c r="AD17"/>
  <c r="Z29"/>
  <c r="P31"/>
  <c r="Q29"/>
  <c r="Q36" s="1"/>
  <c r="R28"/>
  <c r="S24"/>
  <c r="S27" s="1"/>
  <c r="S35" s="1"/>
  <c r="AD20" l="1"/>
  <c r="AD22" s="1"/>
  <c r="AB28"/>
  <c r="AE17"/>
  <c r="AA29"/>
  <c r="AC24"/>
  <c r="AC27" s="1"/>
  <c r="AC35" s="1"/>
  <c r="AD36" s="1"/>
  <c r="Z31"/>
  <c r="Q31"/>
  <c r="R29"/>
  <c r="R36" s="1"/>
  <c r="S28"/>
  <c r="T24"/>
  <c r="T27" s="1"/>
  <c r="T35" s="1"/>
  <c r="U36" s="1"/>
  <c r="AE20" l="1"/>
  <c r="AE22" s="1"/>
  <c r="AB29"/>
  <c r="AB31" s="1"/>
  <c r="AC28"/>
  <c r="AD24"/>
  <c r="AD27" s="1"/>
  <c r="AD35" s="1"/>
  <c r="AE36" s="1"/>
  <c r="AA31"/>
  <c r="AF17"/>
  <c r="AE24"/>
  <c r="AE27" s="1"/>
  <c r="R31"/>
  <c r="S29"/>
  <c r="S36" s="1"/>
  <c r="T28"/>
  <c r="U24"/>
  <c r="U27" s="1"/>
  <c r="U35" s="1"/>
  <c r="V36" s="1"/>
  <c r="AE35" l="1"/>
  <c r="AF36" s="1"/>
  <c r="AF20"/>
  <c r="AF22" s="1"/>
  <c r="AC29"/>
  <c r="AC31" s="1"/>
  <c r="AD28"/>
  <c r="AG17"/>
  <c r="AE28"/>
  <c r="S31"/>
  <c r="T29"/>
  <c r="T36" s="1"/>
  <c r="U28"/>
  <c r="V24"/>
  <c r="V27" s="1"/>
  <c r="V35" s="1"/>
  <c r="W36" s="1"/>
  <c r="AG20" l="1"/>
  <c r="AG22" s="1"/>
  <c r="AF24"/>
  <c r="AF27" s="1"/>
  <c r="AF35" s="1"/>
  <c r="AG36" s="1"/>
  <c r="AH17"/>
  <c r="AG24"/>
  <c r="AG27" s="1"/>
  <c r="AF28"/>
  <c r="AD29"/>
  <c r="AE29"/>
  <c r="T31"/>
  <c r="U29"/>
  <c r="V28"/>
  <c r="X24"/>
  <c r="X27" s="1"/>
  <c r="X35" s="1"/>
  <c r="Y36" s="1"/>
  <c r="W24"/>
  <c r="W27" s="1"/>
  <c r="W35" s="1"/>
  <c r="X36" s="1"/>
  <c r="AG35" l="1"/>
  <c r="AH36" s="1"/>
  <c r="AH20"/>
  <c r="AH22" s="1"/>
  <c r="AH24"/>
  <c r="AH27" s="1"/>
  <c r="AH35" s="1"/>
  <c r="AE31"/>
  <c r="AG28"/>
  <c r="AD31"/>
  <c r="AF29"/>
  <c r="U31"/>
  <c r="V29"/>
  <c r="X28"/>
  <c r="W28"/>
  <c r="AH28" l="1"/>
  <c r="AF31"/>
  <c r="AG29"/>
  <c r="V31"/>
  <c r="X29"/>
  <c r="W29"/>
  <c r="E31"/>
  <c r="AH29" l="1"/>
  <c r="AG31"/>
  <c r="X31"/>
  <c r="W31"/>
  <c r="AH31" l="1"/>
  <c r="B39" l="1"/>
</calcChain>
</file>

<file path=xl/sharedStrings.xml><?xml version="1.0" encoding="utf-8"?>
<sst xmlns="http://schemas.openxmlformats.org/spreadsheetml/2006/main" count="51" uniqueCount="51">
  <si>
    <t>Зарплаты работников</t>
  </si>
  <si>
    <t>Сельхоз. Работы</t>
  </si>
  <si>
    <t>Управленческие расходы</t>
  </si>
  <si>
    <t>Разное</t>
  </si>
  <si>
    <t xml:space="preserve">КУРС EUR/$ </t>
  </si>
  <si>
    <t xml:space="preserve">КУРС EUR/LEU </t>
  </si>
  <si>
    <t>Общие расходы:</t>
  </si>
  <si>
    <t>Размер всего сада (Гектар)</t>
  </si>
  <si>
    <t>Размер зрелого сада (Гектар)</t>
  </si>
  <si>
    <t>Количество деревьев 2010 года посадки</t>
  </si>
  <si>
    <t>Количество деревьев 2018 года посадки</t>
  </si>
  <si>
    <t>Оплата управленцу</t>
  </si>
  <si>
    <t>Цена пустой земли (2019)</t>
  </si>
  <si>
    <t>Год</t>
  </si>
  <si>
    <t>Ставка дисконтирования</t>
  </si>
  <si>
    <t>Урожайность зрелого дерева (Кг)</t>
  </si>
  <si>
    <t>Единовременная инвестиция</t>
  </si>
  <si>
    <t>Урожайность молодого дерева (Кг)</t>
  </si>
  <si>
    <t>Фактор изменений ежегодных расходов</t>
  </si>
  <si>
    <t>Фактор дисконтирования</t>
  </si>
  <si>
    <t>Чистая приведённая стоимость всего проекта (NPV)</t>
  </si>
  <si>
    <t>Финальная оценка Гектара зрелого сада</t>
  </si>
  <si>
    <t>Выход ядра</t>
  </si>
  <si>
    <t>Выход светлых половинок</t>
  </si>
  <si>
    <t>Выход ореха другого качества</t>
  </si>
  <si>
    <t>Цена светлых половинок</t>
  </si>
  <si>
    <t>Цена ореха другого качества</t>
  </si>
  <si>
    <t>Затраты на раскол ореха</t>
  </si>
  <si>
    <t>Затраты на сортировку ореха</t>
  </si>
  <si>
    <t>Затраты на упаковку в картонные коробки</t>
  </si>
  <si>
    <t>Затраты на упаковку в вакуумные мешки</t>
  </si>
  <si>
    <t>Общие расходы на переработку 1 Кг ореха в скорлупе</t>
  </si>
  <si>
    <t>Эффективная цена продажи 1 Кг ореха в скорлупе</t>
  </si>
  <si>
    <t>Расходы на сбор, транспортировку и хранение урожая одного гектара(Лей)</t>
  </si>
  <si>
    <t>Цена продажи ореха в скорлупе (Лей)</t>
  </si>
  <si>
    <t>Доход с гектара (Лей)</t>
  </si>
  <si>
    <t>Доля ежегодных расходов на гектар зрелого сада (Лей)</t>
  </si>
  <si>
    <t>Чистый доход (Лей)</t>
  </si>
  <si>
    <t>Оплата управленцу (Лей)</t>
  </si>
  <si>
    <t>Прибыль к распределению (Лей)</t>
  </si>
  <si>
    <t>Чистая приведённая стоимость прибылей (NPV) (Лей)</t>
  </si>
  <si>
    <t>Цена гектара пустой земли (Лей)</t>
  </si>
  <si>
    <t>Темпы роста/снижения урожайности</t>
  </si>
  <si>
    <t>Стоимость гектара сада будущих периодов, как производная его урожайности (Лей)</t>
  </si>
  <si>
    <t>Расходы на сбор, транспортировку и хранение 1 Килограмма урожая (Лей)</t>
  </si>
  <si>
    <t>Цена кубометра древесины (Евро)</t>
  </si>
  <si>
    <t>Размер одного орехового дерева (куб. метр.)</t>
  </si>
  <si>
    <t>Цена древесины с гектара сада (Лей)</t>
  </si>
  <si>
    <t>Годовой прирост цены земли</t>
  </si>
  <si>
    <t>Годовой прирост объёма дерева</t>
  </si>
  <si>
    <t>Совокупный урожай с Гектара (Кг)</t>
  </si>
</sst>
</file>

<file path=xl/styles.xml><?xml version="1.0" encoding="utf-8"?>
<styleSheet xmlns="http://schemas.openxmlformats.org/spreadsheetml/2006/main">
  <numFmts count="10">
    <numFmt numFmtId="44" formatCode="_(&quot;$&quot;* #,##0.00_);_(&quot;$&quot;* \(#,##0.00\);_(&quot;$&quot;* &quot;-&quot;??_);_(@_)"/>
    <numFmt numFmtId="164" formatCode="_ * #,##0.00_ ;_ * \-#,##0.00_ ;_ * &quot;-&quot;??_ ;_ @_ "/>
    <numFmt numFmtId="165" formatCode="_ * #,##0_ ;_ * \-#,##0_ ;_ * &quot;-&quot;??_ ;_ @_ "/>
    <numFmt numFmtId="166" formatCode="_ [$¥-804]* #,##0_ ;_ [$¥-804]* \-#,##0_ ;_ [$¥-804]* &quot;-&quot;??_ ;_ @_ "/>
    <numFmt numFmtId="167" formatCode="_ [$€-2]\ * #,##0.00_ ;_ [$€-2]\ * \-#,##0.00_ ;_ [$€-2]\ * &quot;-&quot;??_ ;_ @_ "/>
    <numFmt numFmtId="168" formatCode="_ [$€-2]\ * #,##0_ ;_ [$€-2]\ * \-#,##0_ ;_ [$€-2]\ * &quot;-&quot;??_ ;_ @_ "/>
    <numFmt numFmtId="169" formatCode="_ * #,##0.0000_ ;_ * \-#,##0.0000_ ;_ * &quot;-&quot;??_ ;_ @_ "/>
    <numFmt numFmtId="170" formatCode="_ [$¥-804]* #,##0.0_ ;_ [$¥-804]* \-#,##0.0_ ;_ [$¥-804]* &quot;-&quot;??_ ;_ @_ "/>
    <numFmt numFmtId="171" formatCode="_ [$¥-804]* #,##0.00_ ;_ [$¥-804]* \-#,##0.00_ ;_ [$¥-804]* &quot;-&quot;??_ ;_ @_ "/>
    <numFmt numFmtId="172" formatCode="_([$€-2]\ * #,##0_);_([$€-2]\ * \(#,##0\);_([$€-2]\ * &quot;-&quot;??_);_(@_)"/>
  </numFmts>
  <fonts count="7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charset val="177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charset val="177"/>
      <scheme val="minor"/>
    </font>
    <font>
      <sz val="8"/>
      <color theme="1"/>
      <name val="Calibri"/>
      <family val="2"/>
      <charset val="177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CC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readingOrder="2"/>
    </xf>
    <xf numFmtId="9" fontId="0" fillId="2" borderId="0" xfId="0" applyNumberFormat="1" applyFill="1" applyAlignment="1">
      <alignment horizontal="center"/>
    </xf>
    <xf numFmtId="165" fontId="0" fillId="2" borderId="0" xfId="1" applyNumberFormat="1" applyFont="1" applyFill="1"/>
    <xf numFmtId="0" fontId="0" fillId="2" borderId="0" xfId="0" applyFill="1"/>
    <xf numFmtId="0" fontId="4" fillId="0" borderId="0" xfId="0" applyFont="1"/>
    <xf numFmtId="168" fontId="4" fillId="0" borderId="0" xfId="1" applyNumberFormat="1" applyFont="1"/>
    <xf numFmtId="166" fontId="0" fillId="2" borderId="0" xfId="1" applyNumberFormat="1" applyFont="1" applyFill="1"/>
    <xf numFmtId="166" fontId="3" fillId="2" borderId="0" xfId="1" applyNumberFormat="1" applyFont="1" applyFill="1"/>
    <xf numFmtId="165" fontId="0" fillId="0" borderId="0" xfId="0" applyNumberFormat="1" applyAlignment="1">
      <alignment horizontal="center" vertical="top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66" fontId="1" fillId="2" borderId="0" xfId="1" applyNumberFormat="1" applyFont="1" applyFill="1"/>
    <xf numFmtId="167" fontId="0" fillId="2" borderId="0" xfId="0" applyNumberFormat="1" applyFill="1" applyAlignment="1">
      <alignment horizontal="center" vertical="top"/>
    </xf>
    <xf numFmtId="0" fontId="5" fillId="0" borderId="0" xfId="0" applyFont="1" applyAlignment="1">
      <alignment horizontal="center"/>
    </xf>
    <xf numFmtId="169" fontId="5" fillId="0" borderId="0" xfId="0" applyNumberFormat="1" applyFont="1" applyAlignment="1">
      <alignment horizontal="center" vertical="top"/>
    </xf>
    <xf numFmtId="168" fontId="5" fillId="0" borderId="0" xfId="0" applyNumberFormat="1" applyFont="1" applyAlignment="1">
      <alignment horizontal="center" vertical="top"/>
    </xf>
    <xf numFmtId="2" fontId="0" fillId="2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10" fontId="4" fillId="2" borderId="0" xfId="0" applyNumberFormat="1" applyFont="1" applyFill="1"/>
    <xf numFmtId="9" fontId="4" fillId="2" borderId="0" xfId="0" applyNumberFormat="1" applyFont="1" applyFill="1"/>
    <xf numFmtId="9" fontId="0" fillId="0" borderId="0" xfId="0" applyNumberFormat="1" applyFill="1" applyAlignment="1">
      <alignment horizontal="center"/>
    </xf>
    <xf numFmtId="167" fontId="0" fillId="0" borderId="0" xfId="0" applyNumberFormat="1" applyAlignment="1">
      <alignment horizontal="center"/>
    </xf>
    <xf numFmtId="167" fontId="4" fillId="0" borderId="0" xfId="0" applyNumberFormat="1" applyFont="1" applyAlignment="1">
      <alignment horizontal="center"/>
    </xf>
    <xf numFmtId="167" fontId="2" fillId="0" borderId="0" xfId="0" applyNumberFormat="1" applyFont="1"/>
    <xf numFmtId="170" fontId="0" fillId="2" borderId="0" xfId="1" applyNumberFormat="1" applyFont="1" applyFill="1"/>
    <xf numFmtId="164" fontId="2" fillId="2" borderId="0" xfId="1" applyNumberFormat="1" applyFont="1" applyFill="1"/>
    <xf numFmtId="0" fontId="0" fillId="0" borderId="0" xfId="0" applyAlignment="1">
      <alignment horizontal="left"/>
    </xf>
    <xf numFmtId="168" fontId="5" fillId="2" borderId="0" xfId="0" applyNumberFormat="1" applyFont="1" applyFill="1" applyAlignment="1">
      <alignment horizontal="center" vertical="top"/>
    </xf>
    <xf numFmtId="164" fontId="5" fillId="0" borderId="0" xfId="0" applyNumberFormat="1" applyFont="1" applyAlignment="1">
      <alignment horizontal="center" vertical="top"/>
    </xf>
    <xf numFmtId="0" fontId="0" fillId="0" borderId="0" xfId="0" applyFo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164" fontId="0" fillId="0" borderId="0" xfId="0" applyNumberFormat="1" applyAlignment="1">
      <alignment horizontal="center" vertical="top"/>
    </xf>
    <xf numFmtId="166" fontId="0" fillId="0" borderId="0" xfId="0" applyNumberFormat="1" applyAlignment="1">
      <alignment horizontal="center" vertical="top"/>
    </xf>
    <xf numFmtId="171" fontId="0" fillId="0" borderId="0" xfId="0" applyNumberFormat="1" applyFill="1" applyAlignment="1">
      <alignment horizontal="center" vertical="top"/>
    </xf>
    <xf numFmtId="166" fontId="4" fillId="0" borderId="0" xfId="1" applyNumberFormat="1" applyFont="1"/>
    <xf numFmtId="166" fontId="4" fillId="2" borderId="0" xfId="1" applyNumberFormat="1" applyFont="1" applyFill="1"/>
    <xf numFmtId="0" fontId="0" fillId="0" borderId="0" xfId="0" applyAlignment="1">
      <alignment horizontal="left" wrapText="1"/>
    </xf>
    <xf numFmtId="166" fontId="6" fillId="0" borderId="0" xfId="2" applyNumberFormat="1" applyFont="1" applyAlignment="1">
      <alignment horizontal="center" vertical="top"/>
    </xf>
    <xf numFmtId="166" fontId="5" fillId="0" borderId="0" xfId="2" applyNumberFormat="1" applyFont="1" applyAlignment="1">
      <alignment horizontal="center" vertical="top"/>
    </xf>
    <xf numFmtId="172" fontId="0" fillId="2" borderId="0" xfId="1" applyNumberFormat="1" applyFont="1" applyFill="1"/>
    <xf numFmtId="166" fontId="4" fillId="3" borderId="1" xfId="1" applyNumberFormat="1" applyFont="1" applyFill="1" applyBorder="1" applyAlignment="1">
      <alignment horizontal="center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66CC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01"/>
  <sheetViews>
    <sheetView tabSelected="1" zoomScale="90" zoomScaleNormal="90" workbookViewId="0">
      <selection activeCell="A16" sqref="A16"/>
    </sheetView>
  </sheetViews>
  <sheetFormatPr defaultRowHeight="15"/>
  <cols>
    <col min="1" max="1" width="40.28515625" customWidth="1"/>
    <col min="2" max="2" width="40" customWidth="1"/>
    <col min="3" max="3" width="13" bestFit="1" customWidth="1"/>
    <col min="4" max="4" width="30" customWidth="1"/>
    <col min="5" max="5" width="14.85546875" customWidth="1"/>
    <col min="6" max="7" width="13" bestFit="1" customWidth="1"/>
    <col min="8" max="8" width="14.5703125" bestFit="1" customWidth="1"/>
    <col min="9" max="34" width="13" bestFit="1" customWidth="1"/>
  </cols>
  <sheetData>
    <row r="1" spans="1:45">
      <c r="A1" t="s">
        <v>0</v>
      </c>
      <c r="B1" s="9">
        <v>120000</v>
      </c>
      <c r="D1" t="s">
        <v>4</v>
      </c>
      <c r="E1" s="6">
        <v>1.1100000000000001</v>
      </c>
    </row>
    <row r="2" spans="1:45">
      <c r="A2" t="s">
        <v>1</v>
      </c>
      <c r="B2" s="9">
        <v>160000</v>
      </c>
      <c r="D2" t="s">
        <v>5</v>
      </c>
      <c r="E2" s="6">
        <v>19.2</v>
      </c>
    </row>
    <row r="3" spans="1:45">
      <c r="A3" t="s">
        <v>2</v>
      </c>
      <c r="B3" s="9">
        <v>60000</v>
      </c>
    </row>
    <row r="4" spans="1:45" ht="33" customHeight="1">
      <c r="A4" s="32" t="s">
        <v>3</v>
      </c>
      <c r="B4" s="10">
        <v>50000</v>
      </c>
      <c r="D4" s="40" t="s">
        <v>42</v>
      </c>
      <c r="E4" s="21">
        <v>-0.03</v>
      </c>
    </row>
    <row r="5" spans="1:45" ht="18.75">
      <c r="A5" s="7" t="s">
        <v>6</v>
      </c>
      <c r="B5" s="38">
        <f>SUM(B1:B4)</f>
        <v>390000</v>
      </c>
      <c r="D5" s="29" t="s">
        <v>11</v>
      </c>
      <c r="E5" s="22">
        <v>0.2</v>
      </c>
    </row>
    <row r="6" spans="1:45" ht="18.75">
      <c r="A6" s="7"/>
      <c r="B6" s="8"/>
      <c r="D6" s="29" t="s">
        <v>12</v>
      </c>
      <c r="E6" s="39">
        <v>50000</v>
      </c>
    </row>
    <row r="7" spans="1:45" ht="16.5" customHeight="1">
      <c r="A7" t="s">
        <v>7</v>
      </c>
      <c r="B7" s="28">
        <v>47</v>
      </c>
      <c r="D7" s="29" t="s">
        <v>48</v>
      </c>
      <c r="E7" s="21">
        <v>0.08</v>
      </c>
    </row>
    <row r="8" spans="1:45" ht="16.5" customHeight="1">
      <c r="A8" t="s">
        <v>8</v>
      </c>
      <c r="B8" s="28">
        <v>35.22</v>
      </c>
      <c r="D8" s="29" t="s">
        <v>49</v>
      </c>
      <c r="E8" s="21">
        <v>0.12</v>
      </c>
    </row>
    <row r="9" spans="1:45">
      <c r="A9" t="s">
        <v>9</v>
      </c>
      <c r="B9" s="5">
        <v>3123</v>
      </c>
    </row>
    <row r="10" spans="1:45">
      <c r="A10" t="s">
        <v>10</v>
      </c>
      <c r="B10" s="5">
        <v>399</v>
      </c>
    </row>
    <row r="11" spans="1:45">
      <c r="A11" t="s">
        <v>45</v>
      </c>
      <c r="B11" s="43">
        <v>400</v>
      </c>
    </row>
    <row r="12" spans="1:45" ht="28.5" customHeight="1">
      <c r="A12" s="13" t="s">
        <v>44</v>
      </c>
      <c r="B12" s="14">
        <v>2</v>
      </c>
    </row>
    <row r="13" spans="1:45" ht="14.25" customHeight="1"/>
    <row r="14" spans="1:45" ht="29.25" customHeight="1"/>
    <row r="15" spans="1:45">
      <c r="A15" s="2"/>
      <c r="B15" s="2" t="s">
        <v>13</v>
      </c>
      <c r="C15" s="2">
        <v>2017</v>
      </c>
      <c r="D15" s="2">
        <v>2018</v>
      </c>
      <c r="E15" s="2">
        <v>2019</v>
      </c>
      <c r="F15" s="2">
        <v>2020</v>
      </c>
      <c r="G15" s="2">
        <v>2021</v>
      </c>
      <c r="H15" s="2">
        <v>2022</v>
      </c>
      <c r="I15" s="2">
        <v>2023</v>
      </c>
      <c r="J15" s="2">
        <v>2024</v>
      </c>
      <c r="K15" s="2">
        <v>2025</v>
      </c>
      <c r="L15" s="2">
        <v>2026</v>
      </c>
      <c r="M15" s="2">
        <v>2027</v>
      </c>
      <c r="N15" s="2">
        <v>2028</v>
      </c>
      <c r="O15" s="2">
        <v>2029</v>
      </c>
      <c r="P15" s="2">
        <v>2030</v>
      </c>
      <c r="Q15" s="2">
        <v>2031</v>
      </c>
      <c r="R15" s="2">
        <v>2032</v>
      </c>
      <c r="S15" s="2">
        <v>2033</v>
      </c>
      <c r="T15" s="2">
        <v>2034</v>
      </c>
      <c r="U15" s="2">
        <v>2035</v>
      </c>
      <c r="V15" s="2">
        <v>2036</v>
      </c>
      <c r="W15" s="2">
        <v>2037</v>
      </c>
      <c r="X15" s="2">
        <v>2038</v>
      </c>
      <c r="Y15" s="2">
        <v>2039</v>
      </c>
      <c r="Z15" s="2">
        <v>2040</v>
      </c>
      <c r="AA15" s="2">
        <v>2041</v>
      </c>
      <c r="AB15" s="2">
        <v>2042</v>
      </c>
      <c r="AC15" s="2">
        <v>2043</v>
      </c>
      <c r="AD15" s="2">
        <v>2044</v>
      </c>
      <c r="AE15" s="2">
        <v>2045</v>
      </c>
      <c r="AF15" s="2">
        <v>2046</v>
      </c>
      <c r="AG15" s="2">
        <v>2047</v>
      </c>
      <c r="AH15" s="2">
        <v>2048</v>
      </c>
      <c r="AI15" s="3"/>
      <c r="AJ15" s="2"/>
      <c r="AK15" s="2"/>
      <c r="AL15" s="2"/>
      <c r="AM15" s="2"/>
      <c r="AN15" s="2"/>
      <c r="AO15" s="2"/>
      <c r="AP15" s="2"/>
      <c r="AQ15" s="2"/>
      <c r="AR15" s="2"/>
      <c r="AS15" s="2"/>
    </row>
    <row r="16" spans="1:45">
      <c r="A16" s="2"/>
      <c r="B16" s="2" t="s">
        <v>14</v>
      </c>
      <c r="C16" s="4">
        <v>0.25</v>
      </c>
      <c r="D16" s="4">
        <v>0.22</v>
      </c>
      <c r="E16" s="4">
        <v>0.2</v>
      </c>
      <c r="F16" s="4">
        <v>0.18</v>
      </c>
      <c r="G16" s="4">
        <v>0.16</v>
      </c>
      <c r="H16" s="4">
        <v>0.14000000000000001</v>
      </c>
      <c r="I16" s="4">
        <v>0.12</v>
      </c>
      <c r="J16" s="4">
        <v>0.1</v>
      </c>
      <c r="K16" s="4">
        <v>0.1</v>
      </c>
      <c r="L16" s="4">
        <v>0.1</v>
      </c>
      <c r="M16" s="4">
        <v>0.1</v>
      </c>
      <c r="N16" s="4">
        <v>0.1</v>
      </c>
      <c r="O16" s="4">
        <v>0.1</v>
      </c>
      <c r="P16" s="4">
        <v>0.1</v>
      </c>
      <c r="Q16" s="4">
        <v>0.1</v>
      </c>
      <c r="R16" s="4">
        <v>0.1</v>
      </c>
      <c r="S16" s="4">
        <v>0.1</v>
      </c>
      <c r="T16" s="4">
        <v>0.1</v>
      </c>
      <c r="U16" s="4">
        <v>0.1</v>
      </c>
      <c r="V16" s="4">
        <v>0.1</v>
      </c>
      <c r="W16" s="4">
        <v>0.1</v>
      </c>
      <c r="X16" s="4">
        <v>0.1</v>
      </c>
      <c r="Y16" s="4">
        <v>0.1</v>
      </c>
      <c r="Z16" s="4">
        <v>0.1</v>
      </c>
      <c r="AA16" s="4">
        <v>0.1</v>
      </c>
      <c r="AB16" s="4">
        <v>0.1</v>
      </c>
      <c r="AC16" s="4">
        <v>0.1</v>
      </c>
      <c r="AD16" s="4">
        <v>0.1</v>
      </c>
      <c r="AE16" s="4">
        <v>0.1</v>
      </c>
      <c r="AF16" s="4">
        <v>0.1</v>
      </c>
      <c r="AG16" s="4">
        <v>0.1</v>
      </c>
      <c r="AH16" s="4">
        <v>0.1</v>
      </c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</row>
    <row r="17" spans="1:45">
      <c r="A17" s="2"/>
      <c r="B17" s="2" t="s">
        <v>15</v>
      </c>
      <c r="C17" s="19">
        <v>0</v>
      </c>
      <c r="D17" s="19">
        <v>0.2</v>
      </c>
      <c r="E17" s="19">
        <v>0.3</v>
      </c>
      <c r="F17" s="19">
        <v>1.2</v>
      </c>
      <c r="G17" s="19">
        <v>3</v>
      </c>
      <c r="H17" s="19">
        <v>6.5</v>
      </c>
      <c r="I17" s="19">
        <v>10</v>
      </c>
      <c r="J17" s="19">
        <v>13</v>
      </c>
      <c r="K17" s="19">
        <v>15</v>
      </c>
      <c r="L17" s="19">
        <v>17</v>
      </c>
      <c r="M17" s="19">
        <v>18</v>
      </c>
      <c r="N17" s="19">
        <v>19</v>
      </c>
      <c r="O17" s="19">
        <v>20</v>
      </c>
      <c r="P17" s="19">
        <v>20</v>
      </c>
      <c r="Q17" s="19">
        <v>20</v>
      </c>
      <c r="R17" s="19">
        <v>20</v>
      </c>
      <c r="S17" s="19">
        <v>20</v>
      </c>
      <c r="T17" s="19">
        <v>20</v>
      </c>
      <c r="U17" s="19">
        <v>20</v>
      </c>
      <c r="V17" s="19">
        <v>20</v>
      </c>
      <c r="W17" s="19">
        <v>20</v>
      </c>
      <c r="X17" s="19">
        <v>20</v>
      </c>
      <c r="Y17" s="19">
        <v>20</v>
      </c>
      <c r="Z17" s="19">
        <v>20</v>
      </c>
      <c r="AA17" s="20">
        <f t="shared" ref="AA17:AH17" si="0">IF((Z17*(1+$E$4))&lt;30,Z17*(1+$E$4),30)</f>
        <v>19.399999999999999</v>
      </c>
      <c r="AB17" s="20">
        <f t="shared" si="0"/>
        <v>18.817999999999998</v>
      </c>
      <c r="AC17" s="20">
        <f t="shared" si="0"/>
        <v>18.253459999999997</v>
      </c>
      <c r="AD17" s="20">
        <f t="shared" si="0"/>
        <v>17.705856199999996</v>
      </c>
      <c r="AE17" s="20">
        <f t="shared" si="0"/>
        <v>17.174680513999995</v>
      </c>
      <c r="AF17" s="20">
        <f t="shared" si="0"/>
        <v>16.659440098579996</v>
      </c>
      <c r="AG17" s="20">
        <f t="shared" si="0"/>
        <v>16.159656895622597</v>
      </c>
      <c r="AH17" s="20">
        <f t="shared" si="0"/>
        <v>15.674867188753918</v>
      </c>
      <c r="AI17" s="20"/>
      <c r="AJ17" s="20"/>
      <c r="AK17" s="20"/>
      <c r="AL17" s="2"/>
      <c r="AM17" s="2"/>
      <c r="AN17" s="2"/>
      <c r="AO17" s="2"/>
      <c r="AP17" s="2"/>
      <c r="AQ17" s="2"/>
      <c r="AR17" s="2"/>
      <c r="AS17" s="2"/>
    </row>
    <row r="18" spans="1:45">
      <c r="A18" s="2"/>
      <c r="B18" s="2" t="s">
        <v>16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20"/>
      <c r="AJ18" s="20"/>
      <c r="AK18" s="20"/>
      <c r="AL18" s="2"/>
      <c r="AM18" s="2"/>
      <c r="AN18" s="2"/>
      <c r="AO18" s="2"/>
      <c r="AP18" s="2"/>
      <c r="AQ18" s="2"/>
      <c r="AR18" s="2"/>
      <c r="AS18" s="2"/>
    </row>
    <row r="19" spans="1:45">
      <c r="A19" s="2"/>
      <c r="B19" s="2" t="s">
        <v>17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f>C17</f>
        <v>0</v>
      </c>
      <c r="I19" s="20">
        <f>D17</f>
        <v>0.2</v>
      </c>
      <c r="J19" s="20">
        <f t="shared" ref="J19:AH19" si="1">E17</f>
        <v>0.3</v>
      </c>
      <c r="K19" s="20">
        <f t="shared" si="1"/>
        <v>1.2</v>
      </c>
      <c r="L19" s="20">
        <f t="shared" si="1"/>
        <v>3</v>
      </c>
      <c r="M19" s="20">
        <f t="shared" si="1"/>
        <v>6.5</v>
      </c>
      <c r="N19" s="20">
        <f t="shared" si="1"/>
        <v>10</v>
      </c>
      <c r="O19" s="20">
        <f t="shared" si="1"/>
        <v>13</v>
      </c>
      <c r="P19" s="20">
        <f t="shared" si="1"/>
        <v>15</v>
      </c>
      <c r="Q19" s="20">
        <f t="shared" si="1"/>
        <v>17</v>
      </c>
      <c r="R19" s="20">
        <f t="shared" si="1"/>
        <v>18</v>
      </c>
      <c r="S19" s="20">
        <f t="shared" si="1"/>
        <v>19</v>
      </c>
      <c r="T19" s="20">
        <f t="shared" si="1"/>
        <v>20</v>
      </c>
      <c r="U19" s="20">
        <f t="shared" si="1"/>
        <v>20</v>
      </c>
      <c r="V19" s="20">
        <f t="shared" si="1"/>
        <v>20</v>
      </c>
      <c r="W19" s="20">
        <f t="shared" si="1"/>
        <v>20</v>
      </c>
      <c r="X19" s="20">
        <f t="shared" si="1"/>
        <v>20</v>
      </c>
      <c r="Y19" s="20">
        <f t="shared" si="1"/>
        <v>20</v>
      </c>
      <c r="Z19" s="20">
        <f t="shared" si="1"/>
        <v>20</v>
      </c>
      <c r="AA19" s="20">
        <f t="shared" si="1"/>
        <v>20</v>
      </c>
      <c r="AB19" s="20">
        <f t="shared" si="1"/>
        <v>20</v>
      </c>
      <c r="AC19" s="20">
        <f t="shared" si="1"/>
        <v>20</v>
      </c>
      <c r="AD19" s="20">
        <f t="shared" si="1"/>
        <v>20</v>
      </c>
      <c r="AE19" s="20">
        <f t="shared" si="1"/>
        <v>20</v>
      </c>
      <c r="AF19" s="20">
        <f t="shared" si="1"/>
        <v>19.399999999999999</v>
      </c>
      <c r="AG19" s="20">
        <f t="shared" si="1"/>
        <v>18.817999999999998</v>
      </c>
      <c r="AH19" s="20">
        <f t="shared" si="1"/>
        <v>18.253459999999997</v>
      </c>
      <c r="AI19" s="20"/>
      <c r="AJ19" s="20"/>
      <c r="AK19" s="20"/>
      <c r="AL19" s="2"/>
      <c r="AM19" s="2"/>
      <c r="AN19" s="2"/>
      <c r="AO19" s="2"/>
      <c r="AP19" s="2"/>
      <c r="AQ19" s="2"/>
      <c r="AR19" s="2"/>
      <c r="AS19" s="2"/>
    </row>
    <row r="20" spans="1:45">
      <c r="A20" s="2"/>
      <c r="B20" s="2" t="s">
        <v>50</v>
      </c>
      <c r="C20" s="35">
        <f>(C17*$B$9+C19*$B$10)/$B$8</f>
        <v>0</v>
      </c>
      <c r="D20" s="11">
        <f>(D17*$B$9+D19*$B$10)/$B$8</f>
        <v>17.734241908006815</v>
      </c>
      <c r="E20" s="11">
        <f t="shared" ref="E20:AH20" si="2">(E17*$B$9+E19*$B$10)/$B$8</f>
        <v>26.601362862010223</v>
      </c>
      <c r="F20" s="11">
        <f t="shared" si="2"/>
        <v>106.40545144804089</v>
      </c>
      <c r="G20" s="11">
        <f t="shared" si="2"/>
        <v>266.01362862010222</v>
      </c>
      <c r="H20" s="11">
        <f t="shared" si="2"/>
        <v>576.36286201022153</v>
      </c>
      <c r="I20" s="11">
        <f t="shared" si="2"/>
        <v>888.97785349233391</v>
      </c>
      <c r="J20" s="11">
        <f t="shared" si="2"/>
        <v>1156.1243611584327</v>
      </c>
      <c r="K20" s="11">
        <f t="shared" si="2"/>
        <v>1343.6626916524704</v>
      </c>
      <c r="L20" s="11">
        <f t="shared" si="2"/>
        <v>1541.396933560477</v>
      </c>
      <c r="M20" s="11">
        <f t="shared" si="2"/>
        <v>1669.7189097103919</v>
      </c>
      <c r="N20" s="11">
        <f t="shared" si="2"/>
        <v>1798.0408858603066</v>
      </c>
      <c r="O20" s="11">
        <f t="shared" si="2"/>
        <v>1920.6984667802385</v>
      </c>
      <c r="P20" s="11">
        <f t="shared" si="2"/>
        <v>1943.3560477001704</v>
      </c>
      <c r="Q20" s="11">
        <f t="shared" si="2"/>
        <v>1966.0136286201023</v>
      </c>
      <c r="R20" s="11">
        <f t="shared" si="2"/>
        <v>1977.3424190800681</v>
      </c>
      <c r="S20" s="11">
        <f t="shared" si="2"/>
        <v>1988.6712095400342</v>
      </c>
      <c r="T20" s="11">
        <f t="shared" si="2"/>
        <v>2000</v>
      </c>
      <c r="U20" s="11">
        <f t="shared" si="2"/>
        <v>2000</v>
      </c>
      <c r="V20" s="11">
        <f t="shared" si="2"/>
        <v>2000</v>
      </c>
      <c r="W20" s="11">
        <f t="shared" si="2"/>
        <v>2000</v>
      </c>
      <c r="X20" s="11">
        <f t="shared" si="2"/>
        <v>2000</v>
      </c>
      <c r="Y20" s="11">
        <f t="shared" si="2"/>
        <v>2000</v>
      </c>
      <c r="Z20" s="11">
        <f t="shared" si="2"/>
        <v>2000</v>
      </c>
      <c r="AA20" s="11">
        <f t="shared" si="2"/>
        <v>1946.7972742759796</v>
      </c>
      <c r="AB20" s="11">
        <f t="shared" si="2"/>
        <v>1895.1906303236799</v>
      </c>
      <c r="AC20" s="11">
        <f t="shared" si="2"/>
        <v>1845.1321856899488</v>
      </c>
      <c r="AD20" s="11">
        <f t="shared" si="2"/>
        <v>1796.5754943952297</v>
      </c>
      <c r="AE20" s="11">
        <f t="shared" si="2"/>
        <v>1749.4755038393523</v>
      </c>
      <c r="AF20" s="11">
        <f t="shared" si="2"/>
        <v>1696.9912387241716</v>
      </c>
      <c r="AG20" s="11">
        <f t="shared" si="2"/>
        <v>1646.0815015624466</v>
      </c>
      <c r="AH20" s="11">
        <f t="shared" si="2"/>
        <v>1596.6990565155731</v>
      </c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</row>
    <row r="21" spans="1:45">
      <c r="A21" s="2"/>
      <c r="B21" s="2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</row>
    <row r="22" spans="1:45" ht="27" customHeight="1">
      <c r="A22" s="2"/>
      <c r="B22" s="12" t="s">
        <v>33</v>
      </c>
      <c r="C22" s="36">
        <f>$B$12*C20</f>
        <v>0</v>
      </c>
      <c r="D22" s="36">
        <f>$B$12*D20</f>
        <v>35.468483816013631</v>
      </c>
      <c r="E22" s="36">
        <f t="shared" ref="E22:AH22" si="3">$B$12*E20</f>
        <v>53.202725724020446</v>
      </c>
      <c r="F22" s="36">
        <f t="shared" si="3"/>
        <v>212.81090289608179</v>
      </c>
      <c r="G22" s="36">
        <f t="shared" si="3"/>
        <v>532.02725724020445</v>
      </c>
      <c r="H22" s="36">
        <f t="shared" si="3"/>
        <v>1152.7257240204431</v>
      </c>
      <c r="I22" s="36">
        <f t="shared" si="3"/>
        <v>1777.9557069846678</v>
      </c>
      <c r="J22" s="36">
        <f t="shared" si="3"/>
        <v>2312.2487223168655</v>
      </c>
      <c r="K22" s="36">
        <f t="shared" si="3"/>
        <v>2687.3253833049407</v>
      </c>
      <c r="L22" s="36">
        <f t="shared" si="3"/>
        <v>3082.793867120954</v>
      </c>
      <c r="M22" s="36">
        <f t="shared" si="3"/>
        <v>3339.4378194207839</v>
      </c>
      <c r="N22" s="36">
        <f t="shared" si="3"/>
        <v>3596.0817717206132</v>
      </c>
      <c r="O22" s="36">
        <f t="shared" si="3"/>
        <v>3841.396933560477</v>
      </c>
      <c r="P22" s="36">
        <f t="shared" si="3"/>
        <v>3886.7120954003408</v>
      </c>
      <c r="Q22" s="36">
        <f t="shared" si="3"/>
        <v>3932.0272572402046</v>
      </c>
      <c r="R22" s="36">
        <f t="shared" si="3"/>
        <v>3954.6848381601362</v>
      </c>
      <c r="S22" s="36">
        <f t="shared" si="3"/>
        <v>3977.3424190800683</v>
      </c>
      <c r="T22" s="36">
        <f t="shared" si="3"/>
        <v>4000</v>
      </c>
      <c r="U22" s="36">
        <f t="shared" si="3"/>
        <v>4000</v>
      </c>
      <c r="V22" s="36">
        <f t="shared" si="3"/>
        <v>4000</v>
      </c>
      <c r="W22" s="36">
        <f t="shared" si="3"/>
        <v>4000</v>
      </c>
      <c r="X22" s="36">
        <f t="shared" si="3"/>
        <v>4000</v>
      </c>
      <c r="Y22" s="36">
        <f t="shared" si="3"/>
        <v>4000</v>
      </c>
      <c r="Z22" s="36">
        <f t="shared" si="3"/>
        <v>4000</v>
      </c>
      <c r="AA22" s="36">
        <f t="shared" si="3"/>
        <v>3893.5945485519592</v>
      </c>
      <c r="AB22" s="36">
        <f t="shared" si="3"/>
        <v>3790.3812606473598</v>
      </c>
      <c r="AC22" s="36">
        <f t="shared" si="3"/>
        <v>3690.2643713798975</v>
      </c>
      <c r="AD22" s="36">
        <f t="shared" si="3"/>
        <v>3593.1509887904595</v>
      </c>
      <c r="AE22" s="36">
        <f t="shared" si="3"/>
        <v>3498.9510076787046</v>
      </c>
      <c r="AF22" s="36">
        <f t="shared" si="3"/>
        <v>3393.9824774483432</v>
      </c>
      <c r="AG22" s="36">
        <f t="shared" si="3"/>
        <v>3292.1630031248933</v>
      </c>
      <c r="AH22" s="36">
        <f t="shared" si="3"/>
        <v>3193.3981130311463</v>
      </c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</row>
    <row r="23" spans="1:45">
      <c r="A23" s="2"/>
      <c r="B23" s="2" t="s">
        <v>34</v>
      </c>
      <c r="C23" s="37">
        <f t="shared" ref="C23:AH23" si="4">$B$52</f>
        <v>45.025000000000006</v>
      </c>
      <c r="D23" s="37">
        <f t="shared" si="4"/>
        <v>45.025000000000006</v>
      </c>
      <c r="E23" s="37">
        <f t="shared" si="4"/>
        <v>45.025000000000006</v>
      </c>
      <c r="F23" s="37">
        <f t="shared" si="4"/>
        <v>45.025000000000006</v>
      </c>
      <c r="G23" s="37">
        <f t="shared" si="4"/>
        <v>45.025000000000006</v>
      </c>
      <c r="H23" s="37">
        <f t="shared" si="4"/>
        <v>45.025000000000006</v>
      </c>
      <c r="I23" s="37">
        <f t="shared" si="4"/>
        <v>45.025000000000006</v>
      </c>
      <c r="J23" s="37">
        <f t="shared" si="4"/>
        <v>45.025000000000006</v>
      </c>
      <c r="K23" s="37">
        <f t="shared" si="4"/>
        <v>45.025000000000006</v>
      </c>
      <c r="L23" s="37">
        <f t="shared" si="4"/>
        <v>45.025000000000006</v>
      </c>
      <c r="M23" s="37">
        <f t="shared" si="4"/>
        <v>45.025000000000006</v>
      </c>
      <c r="N23" s="37">
        <f t="shared" si="4"/>
        <v>45.025000000000006</v>
      </c>
      <c r="O23" s="37">
        <f t="shared" si="4"/>
        <v>45.025000000000006</v>
      </c>
      <c r="P23" s="37">
        <f t="shared" si="4"/>
        <v>45.025000000000006</v>
      </c>
      <c r="Q23" s="37">
        <f t="shared" si="4"/>
        <v>45.025000000000006</v>
      </c>
      <c r="R23" s="37">
        <f t="shared" si="4"/>
        <v>45.025000000000006</v>
      </c>
      <c r="S23" s="37">
        <f t="shared" si="4"/>
        <v>45.025000000000006</v>
      </c>
      <c r="T23" s="37">
        <f t="shared" si="4"/>
        <v>45.025000000000006</v>
      </c>
      <c r="U23" s="37">
        <f t="shared" si="4"/>
        <v>45.025000000000006</v>
      </c>
      <c r="V23" s="37">
        <f t="shared" si="4"/>
        <v>45.025000000000006</v>
      </c>
      <c r="W23" s="37">
        <f t="shared" si="4"/>
        <v>45.025000000000006</v>
      </c>
      <c r="X23" s="37">
        <f t="shared" si="4"/>
        <v>45.025000000000006</v>
      </c>
      <c r="Y23" s="37">
        <f t="shared" si="4"/>
        <v>45.025000000000006</v>
      </c>
      <c r="Z23" s="37">
        <f t="shared" si="4"/>
        <v>45.025000000000006</v>
      </c>
      <c r="AA23" s="37">
        <f t="shared" si="4"/>
        <v>45.025000000000006</v>
      </c>
      <c r="AB23" s="37">
        <f t="shared" si="4"/>
        <v>45.025000000000006</v>
      </c>
      <c r="AC23" s="37">
        <f t="shared" si="4"/>
        <v>45.025000000000006</v>
      </c>
      <c r="AD23" s="37">
        <f t="shared" si="4"/>
        <v>45.025000000000006</v>
      </c>
      <c r="AE23" s="37">
        <f t="shared" si="4"/>
        <v>45.025000000000006</v>
      </c>
      <c r="AF23" s="37">
        <f t="shared" si="4"/>
        <v>45.025000000000006</v>
      </c>
      <c r="AG23" s="37">
        <f t="shared" si="4"/>
        <v>45.025000000000006</v>
      </c>
      <c r="AH23" s="37">
        <f t="shared" si="4"/>
        <v>45.025000000000006</v>
      </c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</row>
    <row r="24" spans="1:45">
      <c r="A24" s="2"/>
      <c r="B24" s="2" t="s">
        <v>35</v>
      </c>
      <c r="C24" s="36">
        <f t="shared" ref="C24:X24" si="5">C23*C20-C22</f>
        <v>0</v>
      </c>
      <c r="D24" s="36">
        <f t="shared" si="5"/>
        <v>763.01575809199335</v>
      </c>
      <c r="E24" s="36">
        <f t="shared" si="5"/>
        <v>1144.5236371379901</v>
      </c>
      <c r="F24" s="36">
        <f t="shared" si="5"/>
        <v>4578.0945485519605</v>
      </c>
      <c r="G24" s="36">
        <f t="shared" si="5"/>
        <v>11445.2363713799</v>
      </c>
      <c r="H24" s="36">
        <f t="shared" si="5"/>
        <v>24798.012137989786</v>
      </c>
      <c r="I24" s="36">
        <f t="shared" si="5"/>
        <v>38248.272146507668</v>
      </c>
      <c r="J24" s="36">
        <f t="shared" si="5"/>
        <v>49742.250638841579</v>
      </c>
      <c r="K24" s="36">
        <f t="shared" ref="K24:W24" si="6">K23*K20-K22</f>
        <v>57811.087308347545</v>
      </c>
      <c r="L24" s="36">
        <f t="shared" si="6"/>
        <v>66318.603066439537</v>
      </c>
      <c r="M24" s="36">
        <f t="shared" si="6"/>
        <v>71839.656090289631</v>
      </c>
      <c r="N24" s="36">
        <f t="shared" si="6"/>
        <v>77360.70911413971</v>
      </c>
      <c r="O24" s="36">
        <f t="shared" si="6"/>
        <v>82638.051533219768</v>
      </c>
      <c r="P24" s="36">
        <f t="shared" si="6"/>
        <v>83612.893952299841</v>
      </c>
      <c r="Q24" s="36">
        <f t="shared" ref="Q24:V24" si="7">Q23*Q20-Q22</f>
        <v>84587.736371379913</v>
      </c>
      <c r="R24" s="36">
        <f t="shared" si="7"/>
        <v>85075.157580919942</v>
      </c>
      <c r="S24" s="36">
        <f t="shared" si="7"/>
        <v>85562.578790459971</v>
      </c>
      <c r="T24" s="36">
        <f t="shared" si="7"/>
        <v>86050.000000000015</v>
      </c>
      <c r="U24" s="36">
        <f t="shared" si="7"/>
        <v>86050.000000000015</v>
      </c>
      <c r="V24" s="36">
        <f t="shared" si="7"/>
        <v>86050.000000000015</v>
      </c>
      <c r="W24" s="36">
        <f t="shared" si="6"/>
        <v>86050.000000000015</v>
      </c>
      <c r="X24" s="36">
        <f t="shared" si="5"/>
        <v>86050.000000000015</v>
      </c>
      <c r="Y24" s="36">
        <f t="shared" ref="Y24:AB24" si="8">Y23*Y20-Y22</f>
        <v>86050.000000000015</v>
      </c>
      <c r="Z24" s="36">
        <f t="shared" si="8"/>
        <v>86050.000000000015</v>
      </c>
      <c r="AA24" s="36">
        <f t="shared" si="8"/>
        <v>83760.952725724026</v>
      </c>
      <c r="AB24" s="36">
        <f t="shared" si="8"/>
        <v>81540.576869676326</v>
      </c>
      <c r="AC24" s="36">
        <f t="shared" ref="AC24:AH24" si="9">AC23*AC20-AC22</f>
        <v>79386.812289310052</v>
      </c>
      <c r="AD24" s="36">
        <f t="shared" si="9"/>
        <v>77297.66064635478</v>
      </c>
      <c r="AE24" s="36">
        <f t="shared" si="9"/>
        <v>75271.183552688133</v>
      </c>
      <c r="AF24" s="36">
        <f t="shared" si="9"/>
        <v>73013.048046107491</v>
      </c>
      <c r="AG24" s="36">
        <f t="shared" si="9"/>
        <v>70822.656604724281</v>
      </c>
      <c r="AH24" s="36">
        <f t="shared" si="9"/>
        <v>68697.976906582553</v>
      </c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</row>
    <row r="25" spans="1:45">
      <c r="A25" s="2"/>
      <c r="B25" s="2" t="s">
        <v>18</v>
      </c>
      <c r="C25" s="31">
        <v>1.2</v>
      </c>
      <c r="D25" s="31">
        <v>1.2</v>
      </c>
      <c r="E25" s="31">
        <v>1.1499999999999999</v>
      </c>
      <c r="F25" s="31">
        <v>1.1499999999999999</v>
      </c>
      <c r="G25" s="31">
        <v>1.1499999999999999</v>
      </c>
      <c r="H25" s="31">
        <v>1.1000000000000001</v>
      </c>
      <c r="I25" s="31">
        <v>1.1000000000000001</v>
      </c>
      <c r="J25" s="31">
        <v>1.1000000000000001</v>
      </c>
      <c r="K25" s="31">
        <v>1.05</v>
      </c>
      <c r="L25" s="31">
        <v>1.05</v>
      </c>
      <c r="M25" s="31">
        <v>1</v>
      </c>
      <c r="N25" s="31">
        <v>1</v>
      </c>
      <c r="O25" s="31">
        <v>0.9</v>
      </c>
      <c r="P25" s="31">
        <v>0.9</v>
      </c>
      <c r="Q25" s="31">
        <v>0.9</v>
      </c>
      <c r="R25" s="31">
        <v>1</v>
      </c>
      <c r="S25" s="31">
        <v>1</v>
      </c>
      <c r="T25" s="31">
        <v>1</v>
      </c>
      <c r="U25" s="31">
        <v>1</v>
      </c>
      <c r="V25" s="31">
        <v>1</v>
      </c>
      <c r="W25" s="31">
        <v>1</v>
      </c>
      <c r="X25" s="31">
        <v>1</v>
      </c>
      <c r="Y25" s="31">
        <v>1</v>
      </c>
      <c r="Z25" s="31">
        <v>1</v>
      </c>
      <c r="AA25" s="31">
        <v>1</v>
      </c>
      <c r="AB25" s="31">
        <v>1</v>
      </c>
      <c r="AC25" s="31">
        <v>1</v>
      </c>
      <c r="AD25" s="31">
        <v>1</v>
      </c>
      <c r="AE25" s="31">
        <v>1</v>
      </c>
      <c r="AF25" s="31">
        <v>1</v>
      </c>
      <c r="AG25" s="31">
        <v>1</v>
      </c>
      <c r="AH25" s="31">
        <v>1</v>
      </c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</row>
    <row r="26" spans="1:45" ht="29.25" customHeight="1">
      <c r="A26" s="2"/>
      <c r="B26" s="12" t="s">
        <v>36</v>
      </c>
      <c r="C26" s="36">
        <f t="shared" ref="C26:D26" si="10">$B$5*$B$8/$B$7/$B$8</f>
        <v>8297.8723404255325</v>
      </c>
      <c r="D26" s="36">
        <f t="shared" si="10"/>
        <v>8297.8723404255325</v>
      </c>
      <c r="E26" s="36">
        <f>$B$5*$B$8/$B$7/$B$8</f>
        <v>8297.8723404255325</v>
      </c>
      <c r="F26" s="36">
        <f>E26*F25</f>
        <v>9542.5531914893618</v>
      </c>
      <c r="G26" s="36">
        <f t="shared" ref="G26:AH26" si="11">F26*G25</f>
        <v>10973.936170212764</v>
      </c>
      <c r="H26" s="36">
        <f t="shared" si="11"/>
        <v>12071.329787234043</v>
      </c>
      <c r="I26" s="36">
        <f t="shared" si="11"/>
        <v>13278.462765957447</v>
      </c>
      <c r="J26" s="36">
        <f t="shared" si="11"/>
        <v>14606.309042553194</v>
      </c>
      <c r="K26" s="36">
        <f t="shared" si="11"/>
        <v>15336.624494680855</v>
      </c>
      <c r="L26" s="36">
        <f t="shared" si="11"/>
        <v>16103.455719414898</v>
      </c>
      <c r="M26" s="36">
        <f t="shared" si="11"/>
        <v>16103.455719414898</v>
      </c>
      <c r="N26" s="36">
        <f t="shared" si="11"/>
        <v>16103.455719414898</v>
      </c>
      <c r="O26" s="36">
        <f t="shared" si="11"/>
        <v>14493.11014747341</v>
      </c>
      <c r="P26" s="36">
        <f t="shared" si="11"/>
        <v>13043.79913272607</v>
      </c>
      <c r="Q26" s="36">
        <f t="shared" si="11"/>
        <v>11739.419219453463</v>
      </c>
      <c r="R26" s="36">
        <f t="shared" si="11"/>
        <v>11739.419219453463</v>
      </c>
      <c r="S26" s="36">
        <f t="shared" si="11"/>
        <v>11739.419219453463</v>
      </c>
      <c r="T26" s="36">
        <f t="shared" si="11"/>
        <v>11739.419219453463</v>
      </c>
      <c r="U26" s="36">
        <f t="shared" si="11"/>
        <v>11739.419219453463</v>
      </c>
      <c r="V26" s="36">
        <f t="shared" si="11"/>
        <v>11739.419219453463</v>
      </c>
      <c r="W26" s="36">
        <f t="shared" si="11"/>
        <v>11739.419219453463</v>
      </c>
      <c r="X26" s="36">
        <f t="shared" si="11"/>
        <v>11739.419219453463</v>
      </c>
      <c r="Y26" s="36">
        <f t="shared" si="11"/>
        <v>11739.419219453463</v>
      </c>
      <c r="Z26" s="36">
        <f t="shared" si="11"/>
        <v>11739.419219453463</v>
      </c>
      <c r="AA26" s="36">
        <f t="shared" si="11"/>
        <v>11739.419219453463</v>
      </c>
      <c r="AB26" s="36">
        <f t="shared" si="11"/>
        <v>11739.419219453463</v>
      </c>
      <c r="AC26" s="36">
        <f t="shared" si="11"/>
        <v>11739.419219453463</v>
      </c>
      <c r="AD26" s="36">
        <f t="shared" si="11"/>
        <v>11739.419219453463</v>
      </c>
      <c r="AE26" s="36">
        <f t="shared" si="11"/>
        <v>11739.419219453463</v>
      </c>
      <c r="AF26" s="36">
        <f t="shared" si="11"/>
        <v>11739.419219453463</v>
      </c>
      <c r="AG26" s="36">
        <f t="shared" si="11"/>
        <v>11739.419219453463</v>
      </c>
      <c r="AH26" s="36">
        <f t="shared" si="11"/>
        <v>11739.419219453463</v>
      </c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</row>
    <row r="27" spans="1:45">
      <c r="A27" s="2"/>
      <c r="B27" s="2" t="s">
        <v>37</v>
      </c>
      <c r="C27" s="36"/>
      <c r="D27" s="36">
        <f t="shared" ref="D27" si="12">D24-C26</f>
        <v>-7534.8565823335393</v>
      </c>
      <c r="E27" s="36">
        <f>E24-D26</f>
        <v>-7153.3487032875419</v>
      </c>
      <c r="F27" s="36">
        <f t="shared" ref="F27:AH27" si="13">F24-E26</f>
        <v>-3719.7777918735719</v>
      </c>
      <c r="G27" s="36">
        <f t="shared" si="13"/>
        <v>1902.6831798905387</v>
      </c>
      <c r="H27" s="36">
        <f t="shared" si="13"/>
        <v>13824.075967777022</v>
      </c>
      <c r="I27" s="36">
        <f t="shared" si="13"/>
        <v>26176.942359273628</v>
      </c>
      <c r="J27" s="36">
        <f t="shared" si="13"/>
        <v>36463.787872884132</v>
      </c>
      <c r="K27" s="36">
        <f t="shared" si="13"/>
        <v>43204.778265794354</v>
      </c>
      <c r="L27" s="36">
        <f t="shared" si="13"/>
        <v>50981.978571758678</v>
      </c>
      <c r="M27" s="36">
        <f t="shared" si="13"/>
        <v>55736.200370874736</v>
      </c>
      <c r="N27" s="36">
        <f t="shared" si="13"/>
        <v>61257.253394724816</v>
      </c>
      <c r="O27" s="36">
        <f t="shared" si="13"/>
        <v>66534.595813804874</v>
      </c>
      <c r="P27" s="36">
        <f t="shared" si="13"/>
        <v>69119.783804826438</v>
      </c>
      <c r="Q27" s="36">
        <f t="shared" si="13"/>
        <v>71543.937238653845</v>
      </c>
      <c r="R27" s="36">
        <f t="shared" si="13"/>
        <v>73335.738361466472</v>
      </c>
      <c r="S27" s="36">
        <f t="shared" si="13"/>
        <v>73823.159571006516</v>
      </c>
      <c r="T27" s="36">
        <f t="shared" si="13"/>
        <v>74310.580780546559</v>
      </c>
      <c r="U27" s="36">
        <f t="shared" si="13"/>
        <v>74310.580780546559</v>
      </c>
      <c r="V27" s="36">
        <f t="shared" si="13"/>
        <v>74310.580780546559</v>
      </c>
      <c r="W27" s="36">
        <f t="shared" si="13"/>
        <v>74310.580780546559</v>
      </c>
      <c r="X27" s="36">
        <f t="shared" si="13"/>
        <v>74310.580780546559</v>
      </c>
      <c r="Y27" s="36">
        <f t="shared" si="13"/>
        <v>74310.580780546559</v>
      </c>
      <c r="Z27" s="36">
        <f t="shared" si="13"/>
        <v>74310.580780546559</v>
      </c>
      <c r="AA27" s="36">
        <f t="shared" si="13"/>
        <v>72021.533506270556</v>
      </c>
      <c r="AB27" s="36">
        <f t="shared" si="13"/>
        <v>69801.157650222856</v>
      </c>
      <c r="AC27" s="36">
        <f t="shared" si="13"/>
        <v>67647.393069856596</v>
      </c>
      <c r="AD27" s="36">
        <f t="shared" si="13"/>
        <v>65558.24142690131</v>
      </c>
      <c r="AE27" s="36">
        <f t="shared" si="13"/>
        <v>63531.764333234671</v>
      </c>
      <c r="AF27" s="36">
        <f t="shared" si="13"/>
        <v>61273.628826654029</v>
      </c>
      <c r="AG27" s="36">
        <f t="shared" si="13"/>
        <v>59083.237385270819</v>
      </c>
      <c r="AH27" s="36">
        <f t="shared" si="13"/>
        <v>56958.55768712909</v>
      </c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</row>
    <row r="28" spans="1:45">
      <c r="A28" s="2"/>
      <c r="B28" s="2" t="s">
        <v>38</v>
      </c>
      <c r="C28" s="36">
        <f t="shared" ref="C28:AH28" si="14">IF(C24&gt;0,C24*$E$5,0)</f>
        <v>0</v>
      </c>
      <c r="D28" s="36">
        <f t="shared" si="14"/>
        <v>152.60315161839867</v>
      </c>
      <c r="E28" s="36">
        <f t="shared" si="14"/>
        <v>228.90472742759803</v>
      </c>
      <c r="F28" s="36">
        <f t="shared" si="14"/>
        <v>915.61890971039213</v>
      </c>
      <c r="G28" s="36">
        <f t="shared" si="14"/>
        <v>2289.0472742759803</v>
      </c>
      <c r="H28" s="36">
        <f t="shared" si="14"/>
        <v>4959.602427597958</v>
      </c>
      <c r="I28" s="36">
        <f t="shared" si="14"/>
        <v>7649.654429301534</v>
      </c>
      <c r="J28" s="36">
        <f t="shared" si="14"/>
        <v>9948.4501277683157</v>
      </c>
      <c r="K28" s="36">
        <f t="shared" si="14"/>
        <v>11562.21746166951</v>
      </c>
      <c r="L28" s="36">
        <f t="shared" si="14"/>
        <v>13263.720613287907</v>
      </c>
      <c r="M28" s="36">
        <f t="shared" si="14"/>
        <v>14367.931218057927</v>
      </c>
      <c r="N28" s="36">
        <f t="shared" si="14"/>
        <v>15472.141822827944</v>
      </c>
      <c r="O28" s="36">
        <f t="shared" si="14"/>
        <v>16527.610306643954</v>
      </c>
      <c r="P28" s="36">
        <f t="shared" si="14"/>
        <v>16722.578790459967</v>
      </c>
      <c r="Q28" s="36">
        <f t="shared" si="14"/>
        <v>16917.547274275985</v>
      </c>
      <c r="R28" s="36">
        <f t="shared" si="14"/>
        <v>17015.03151618399</v>
      </c>
      <c r="S28" s="36">
        <f t="shared" si="14"/>
        <v>17112.515758091995</v>
      </c>
      <c r="T28" s="36">
        <f t="shared" si="14"/>
        <v>17210.000000000004</v>
      </c>
      <c r="U28" s="36">
        <f t="shared" si="14"/>
        <v>17210.000000000004</v>
      </c>
      <c r="V28" s="36">
        <f t="shared" si="14"/>
        <v>17210.000000000004</v>
      </c>
      <c r="W28" s="36">
        <f t="shared" si="14"/>
        <v>17210.000000000004</v>
      </c>
      <c r="X28" s="36">
        <f t="shared" si="14"/>
        <v>17210.000000000004</v>
      </c>
      <c r="Y28" s="36">
        <f t="shared" si="14"/>
        <v>17210.000000000004</v>
      </c>
      <c r="Z28" s="36">
        <f t="shared" si="14"/>
        <v>17210.000000000004</v>
      </c>
      <c r="AA28" s="36">
        <f t="shared" si="14"/>
        <v>16752.190545144807</v>
      </c>
      <c r="AB28" s="36">
        <f t="shared" si="14"/>
        <v>16308.115373935267</v>
      </c>
      <c r="AC28" s="36">
        <f t="shared" si="14"/>
        <v>15877.362457862011</v>
      </c>
      <c r="AD28" s="36">
        <f t="shared" si="14"/>
        <v>15459.532129270956</v>
      </c>
      <c r="AE28" s="36">
        <f t="shared" si="14"/>
        <v>15054.236710537627</v>
      </c>
      <c r="AF28" s="36">
        <f t="shared" si="14"/>
        <v>14602.609609221499</v>
      </c>
      <c r="AG28" s="36">
        <f t="shared" si="14"/>
        <v>14164.531320944858</v>
      </c>
      <c r="AH28" s="36">
        <f t="shared" si="14"/>
        <v>13739.595381316511</v>
      </c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</row>
    <row r="29" spans="1:45">
      <c r="A29" s="2"/>
      <c r="B29" s="2" t="s">
        <v>39</v>
      </c>
      <c r="C29" s="36">
        <f t="shared" ref="C29" si="15">C27-C28</f>
        <v>0</v>
      </c>
      <c r="D29" s="36">
        <f>D27-D28</f>
        <v>-7687.4597339519378</v>
      </c>
      <c r="E29" s="36">
        <f t="shared" ref="E29:X29" si="16">E27-E28</f>
        <v>-7382.25343071514</v>
      </c>
      <c r="F29" s="36">
        <f t="shared" si="16"/>
        <v>-4635.3967015839644</v>
      </c>
      <c r="G29" s="36">
        <f t="shared" si="16"/>
        <v>-386.3640943854416</v>
      </c>
      <c r="H29" s="36">
        <f t="shared" si="16"/>
        <v>8864.473540179064</v>
      </c>
      <c r="I29" s="36">
        <f t="shared" si="16"/>
        <v>18527.287929972095</v>
      </c>
      <c r="J29" s="36">
        <f t="shared" si="16"/>
        <v>26515.337745115816</v>
      </c>
      <c r="K29" s="36">
        <f t="shared" si="16"/>
        <v>31642.560804124842</v>
      </c>
      <c r="L29" s="36">
        <f t="shared" si="16"/>
        <v>37718.257958470771</v>
      </c>
      <c r="M29" s="36">
        <f t="shared" si="16"/>
        <v>41368.269152816807</v>
      </c>
      <c r="N29" s="36">
        <f t="shared" si="16"/>
        <v>45785.111571896872</v>
      </c>
      <c r="O29" s="36">
        <f t="shared" si="16"/>
        <v>50006.98550716092</v>
      </c>
      <c r="P29" s="36">
        <f t="shared" si="16"/>
        <v>52397.205014366467</v>
      </c>
      <c r="Q29" s="36">
        <f t="shared" si="16"/>
        <v>54626.389964377857</v>
      </c>
      <c r="R29" s="36">
        <f t="shared" si="16"/>
        <v>56320.706845282482</v>
      </c>
      <c r="S29" s="36">
        <f t="shared" si="16"/>
        <v>56710.643812914524</v>
      </c>
      <c r="T29" s="36">
        <f t="shared" si="16"/>
        <v>57100.580780546559</v>
      </c>
      <c r="U29" s="36">
        <f t="shared" si="16"/>
        <v>57100.580780546559</v>
      </c>
      <c r="V29" s="36">
        <f t="shared" si="16"/>
        <v>57100.580780546559</v>
      </c>
      <c r="W29" s="36">
        <f t="shared" si="16"/>
        <v>57100.580780546559</v>
      </c>
      <c r="X29" s="36">
        <f t="shared" si="16"/>
        <v>57100.580780546559</v>
      </c>
      <c r="Y29" s="36">
        <f t="shared" ref="Y29:AB29" si="17">Y27-Y28</f>
        <v>57100.580780546559</v>
      </c>
      <c r="Z29" s="36">
        <f t="shared" si="17"/>
        <v>57100.580780546559</v>
      </c>
      <c r="AA29" s="36">
        <f t="shared" si="17"/>
        <v>55269.342961125745</v>
      </c>
      <c r="AB29" s="36">
        <f t="shared" si="17"/>
        <v>53493.04227628759</v>
      </c>
      <c r="AC29" s="36">
        <f t="shared" ref="AC29:AH29" si="18">AC27-AC28</f>
        <v>51770.030611994589</v>
      </c>
      <c r="AD29" s="36">
        <f t="shared" si="18"/>
        <v>50098.709297630354</v>
      </c>
      <c r="AE29" s="36">
        <f t="shared" si="18"/>
        <v>48477.527622697045</v>
      </c>
      <c r="AF29" s="36">
        <f t="shared" si="18"/>
        <v>46671.019217432528</v>
      </c>
      <c r="AG29" s="36">
        <f t="shared" si="18"/>
        <v>44918.706064325961</v>
      </c>
      <c r="AH29" s="36">
        <f t="shared" si="18"/>
        <v>43218.96230581258</v>
      </c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</row>
    <row r="30" spans="1:45">
      <c r="A30" s="2"/>
      <c r="B30" s="2" t="s">
        <v>19</v>
      </c>
      <c r="C30" s="17">
        <v>1</v>
      </c>
      <c r="D30" s="17">
        <v>1</v>
      </c>
      <c r="E30" s="17">
        <v>1</v>
      </c>
      <c r="F30" s="17">
        <f t="shared" ref="F30:AH30" si="19">(1+F16)*E30</f>
        <v>1.18</v>
      </c>
      <c r="G30" s="17">
        <f t="shared" si="19"/>
        <v>1.3687999999999998</v>
      </c>
      <c r="H30" s="17">
        <f t="shared" si="19"/>
        <v>1.560432</v>
      </c>
      <c r="I30" s="17">
        <f t="shared" si="19"/>
        <v>1.7476838400000003</v>
      </c>
      <c r="J30" s="17">
        <f t="shared" si="19"/>
        <v>1.9224522240000006</v>
      </c>
      <c r="K30" s="17">
        <f t="shared" si="19"/>
        <v>2.114697446400001</v>
      </c>
      <c r="L30" s="17">
        <f t="shared" si="19"/>
        <v>2.3261671910400015</v>
      </c>
      <c r="M30" s="17">
        <f t="shared" si="19"/>
        <v>2.558783910144002</v>
      </c>
      <c r="N30" s="17">
        <f t="shared" si="19"/>
        <v>2.8146623011584024</v>
      </c>
      <c r="O30" s="17">
        <f t="shared" si="19"/>
        <v>3.096128531274243</v>
      </c>
      <c r="P30" s="17">
        <f t="shared" si="19"/>
        <v>3.4057413844016677</v>
      </c>
      <c r="Q30" s="17">
        <f t="shared" si="19"/>
        <v>3.7463155228418348</v>
      </c>
      <c r="R30" s="17">
        <f t="shared" si="19"/>
        <v>4.1209470751260184</v>
      </c>
      <c r="S30" s="17">
        <f t="shared" si="19"/>
        <v>4.5330417826386205</v>
      </c>
      <c r="T30" s="17">
        <f t="shared" si="19"/>
        <v>4.9863459609024829</v>
      </c>
      <c r="U30" s="17">
        <f t="shared" si="19"/>
        <v>5.4849805569927312</v>
      </c>
      <c r="V30" s="17">
        <f t="shared" si="19"/>
        <v>6.0334786126920052</v>
      </c>
      <c r="W30" s="17">
        <f t="shared" si="19"/>
        <v>6.6368264739612064</v>
      </c>
      <c r="X30" s="17">
        <f t="shared" si="19"/>
        <v>7.3005091213573277</v>
      </c>
      <c r="Y30" s="17">
        <f t="shared" si="19"/>
        <v>8.0305600334930602</v>
      </c>
      <c r="Z30" s="17">
        <f t="shared" si="19"/>
        <v>8.8336160368423666</v>
      </c>
      <c r="AA30" s="17">
        <f t="shared" si="19"/>
        <v>9.7169776405266042</v>
      </c>
      <c r="AB30" s="17">
        <f t="shared" si="19"/>
        <v>10.688675404579266</v>
      </c>
      <c r="AC30" s="17">
        <f t="shared" si="19"/>
        <v>11.757542945037194</v>
      </c>
      <c r="AD30" s="17">
        <f t="shared" si="19"/>
        <v>12.933297239540915</v>
      </c>
      <c r="AE30" s="17">
        <f t="shared" si="19"/>
        <v>14.226626963495008</v>
      </c>
      <c r="AF30" s="17">
        <f t="shared" si="19"/>
        <v>15.649289659844509</v>
      </c>
      <c r="AG30" s="17">
        <f t="shared" si="19"/>
        <v>17.214218625828963</v>
      </c>
      <c r="AH30" s="17">
        <f t="shared" si="19"/>
        <v>18.93564048841186</v>
      </c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</row>
    <row r="31" spans="1:45" ht="30.75" customHeight="1">
      <c r="A31" s="2"/>
      <c r="B31" s="33" t="s">
        <v>40</v>
      </c>
      <c r="C31" s="36">
        <f t="shared" ref="C31:X31" si="20">C29/C30</f>
        <v>0</v>
      </c>
      <c r="D31" s="36">
        <f t="shared" si="20"/>
        <v>-7687.4597339519378</v>
      </c>
      <c r="E31" s="36">
        <f t="shared" si="20"/>
        <v>-7382.25343071514</v>
      </c>
      <c r="F31" s="36">
        <f t="shared" si="20"/>
        <v>-3928.302289477936</v>
      </c>
      <c r="G31" s="36">
        <f t="shared" si="20"/>
        <v>-282.26482640666399</v>
      </c>
      <c r="H31" s="36">
        <f t="shared" si="20"/>
        <v>5680.7816939021141</v>
      </c>
      <c r="I31" s="36">
        <f t="shared" si="20"/>
        <v>10601.052379114573</v>
      </c>
      <c r="J31" s="36">
        <f t="shared" si="20"/>
        <v>13792.456017422364</v>
      </c>
      <c r="K31" s="36">
        <f t="shared" ref="K31:W31" si="21">K29/K30</f>
        <v>14963.162157306337</v>
      </c>
      <c r="L31" s="36">
        <f t="shared" si="21"/>
        <v>16214.76654977985</v>
      </c>
      <c r="M31" s="36">
        <f t="shared" si="21"/>
        <v>16167.160106336882</v>
      </c>
      <c r="N31" s="36">
        <f t="shared" si="21"/>
        <v>16266.644688797498</v>
      </c>
      <c r="O31" s="36">
        <f t="shared" si="21"/>
        <v>16151.456569724525</v>
      </c>
      <c r="P31" s="36">
        <f t="shared" si="21"/>
        <v>15384.962949431872</v>
      </c>
      <c r="Q31" s="36">
        <f t="shared" ref="Q31:V31" si="22">Q29/Q30</f>
        <v>14581.363911104858</v>
      </c>
      <c r="R31" s="36">
        <f t="shared" si="22"/>
        <v>13666.932823581627</v>
      </c>
      <c r="S31" s="36">
        <f t="shared" si="22"/>
        <v>12510.505424881403</v>
      </c>
      <c r="T31" s="36">
        <f t="shared" si="22"/>
        <v>11451.387695171452</v>
      </c>
      <c r="U31" s="36">
        <f t="shared" si="22"/>
        <v>10410.352450155864</v>
      </c>
      <c r="V31" s="36">
        <f t="shared" si="22"/>
        <v>9463.9567728689672</v>
      </c>
      <c r="W31" s="36">
        <f t="shared" si="21"/>
        <v>8603.5970662445143</v>
      </c>
      <c r="X31" s="36">
        <f t="shared" si="20"/>
        <v>7821.4518784041029</v>
      </c>
      <c r="Y31" s="36">
        <f t="shared" ref="Y31:AB31" si="23">Y29/Y30</f>
        <v>7110.4107985491846</v>
      </c>
      <c r="Z31" s="36">
        <f t="shared" si="23"/>
        <v>6464.0098168628947</v>
      </c>
      <c r="AA31" s="36">
        <f t="shared" si="23"/>
        <v>5687.9150087382995</v>
      </c>
      <c r="AB31" s="36">
        <f t="shared" si="23"/>
        <v>5004.6465302304887</v>
      </c>
      <c r="AC31" s="36">
        <f t="shared" ref="AC31:AH31" si="24">AC29/AC30</f>
        <v>4403.1334483746441</v>
      </c>
      <c r="AD31" s="36">
        <f t="shared" si="24"/>
        <v>3873.6223539704774</v>
      </c>
      <c r="AE31" s="36">
        <f t="shared" si="24"/>
        <v>3407.5208232484456</v>
      </c>
      <c r="AF31" s="36">
        <f t="shared" si="24"/>
        <v>2982.3091163804461</v>
      </c>
      <c r="AG31" s="36">
        <f t="shared" si="24"/>
        <v>2609.3955840044914</v>
      </c>
      <c r="AH31" s="36">
        <f t="shared" si="24"/>
        <v>2282.4135435113226</v>
      </c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</row>
    <row r="32" spans="1:45">
      <c r="A32" s="2"/>
      <c r="B32" s="16" t="s">
        <v>41</v>
      </c>
      <c r="C32" s="36">
        <f>$E$6</f>
        <v>50000</v>
      </c>
      <c r="D32" s="36">
        <f t="shared" ref="D32:E32" si="25">$E$6</f>
        <v>50000</v>
      </c>
      <c r="E32" s="36">
        <f t="shared" si="25"/>
        <v>50000</v>
      </c>
      <c r="F32" s="36">
        <f>$E$32*(1+$E$7)^(F15-$E$15)</f>
        <v>54000</v>
      </c>
      <c r="G32" s="36">
        <f t="shared" ref="G32:AH32" si="26">$E$32*(1+$E$7)^(G15-$E$15)</f>
        <v>58320.000000000007</v>
      </c>
      <c r="H32" s="36">
        <f t="shared" si="26"/>
        <v>62985.600000000006</v>
      </c>
      <c r="I32" s="36">
        <f t="shared" si="26"/>
        <v>68024.448000000019</v>
      </c>
      <c r="J32" s="36">
        <f t="shared" si="26"/>
        <v>73466.403840000014</v>
      </c>
      <c r="K32" s="36">
        <f t="shared" si="26"/>
        <v>79343.71614720003</v>
      </c>
      <c r="L32" s="36">
        <f t="shared" si="26"/>
        <v>85691.213438976032</v>
      </c>
      <c r="M32" s="36">
        <f t="shared" si="26"/>
        <v>92546.510514094116</v>
      </c>
      <c r="N32" s="36">
        <f t="shared" si="26"/>
        <v>99950.231355221651</v>
      </c>
      <c r="O32" s="36">
        <f t="shared" si="26"/>
        <v>107946.24986363939</v>
      </c>
      <c r="P32" s="36">
        <f t="shared" si="26"/>
        <v>116581.94985273054</v>
      </c>
      <c r="Q32" s="36">
        <f t="shared" si="26"/>
        <v>125908.50584094899</v>
      </c>
      <c r="R32" s="36">
        <f t="shared" si="26"/>
        <v>135981.18630822492</v>
      </c>
      <c r="S32" s="36">
        <f t="shared" si="26"/>
        <v>146859.68121288292</v>
      </c>
      <c r="T32" s="36">
        <f t="shared" si="26"/>
        <v>158608.45570991357</v>
      </c>
      <c r="U32" s="36">
        <f t="shared" si="26"/>
        <v>171297.13216670667</v>
      </c>
      <c r="V32" s="36">
        <f t="shared" si="26"/>
        <v>185000.90274004318</v>
      </c>
      <c r="W32" s="36">
        <f t="shared" si="26"/>
        <v>199800.97495924667</v>
      </c>
      <c r="X32" s="36">
        <f t="shared" si="26"/>
        <v>215785.05295598644</v>
      </c>
      <c r="Y32" s="36">
        <f t="shared" si="26"/>
        <v>233047.85719246534</v>
      </c>
      <c r="Z32" s="36">
        <f t="shared" si="26"/>
        <v>251691.68576786257</v>
      </c>
      <c r="AA32" s="36">
        <f t="shared" si="26"/>
        <v>271827.0206292916</v>
      </c>
      <c r="AB32" s="36">
        <f t="shared" si="26"/>
        <v>293573.18227963493</v>
      </c>
      <c r="AC32" s="36">
        <f t="shared" si="26"/>
        <v>317059.03686200571</v>
      </c>
      <c r="AD32" s="36">
        <f t="shared" si="26"/>
        <v>342423.75981096626</v>
      </c>
      <c r="AE32" s="36">
        <f t="shared" si="26"/>
        <v>369817.66059584351</v>
      </c>
      <c r="AF32" s="36">
        <f t="shared" si="26"/>
        <v>399403.07344351098</v>
      </c>
      <c r="AG32" s="36">
        <f t="shared" si="26"/>
        <v>431355.31931899191</v>
      </c>
      <c r="AH32" s="36">
        <f t="shared" si="26"/>
        <v>465863.7448645113</v>
      </c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</row>
    <row r="33" spans="1:45">
      <c r="A33" s="2"/>
      <c r="B33" s="16" t="s">
        <v>46</v>
      </c>
      <c r="C33" s="31"/>
      <c r="D33" s="31"/>
      <c r="E33" s="31"/>
      <c r="F33" s="31"/>
      <c r="G33" s="31"/>
      <c r="H33" s="31">
        <v>0.2</v>
      </c>
      <c r="I33" s="31">
        <f>$H$33*(1+$E$8)^(I15-$H$15)</f>
        <v>0.22400000000000003</v>
      </c>
      <c r="J33" s="31">
        <f t="shared" ref="J33:AH33" si="27">$H$33*(1+$E$8)^(J15-$H$15)</f>
        <v>0.25088000000000005</v>
      </c>
      <c r="K33" s="31">
        <f t="shared" si="27"/>
        <v>0.28098560000000011</v>
      </c>
      <c r="L33" s="31">
        <f t="shared" si="27"/>
        <v>0.31470387200000011</v>
      </c>
      <c r="M33" s="31">
        <f t="shared" si="27"/>
        <v>0.3524683366400001</v>
      </c>
      <c r="N33" s="31">
        <f t="shared" si="27"/>
        <v>0.3947645370368002</v>
      </c>
      <c r="O33" s="31">
        <f t="shared" si="27"/>
        <v>0.4421362814812162</v>
      </c>
      <c r="P33" s="31">
        <f t="shared" si="27"/>
        <v>0.49519263525896218</v>
      </c>
      <c r="Q33" s="31">
        <f t="shared" si="27"/>
        <v>0.55461575149003772</v>
      </c>
      <c r="R33" s="31">
        <f t="shared" si="27"/>
        <v>0.62116964166884225</v>
      </c>
      <c r="S33" s="31">
        <f t="shared" si="27"/>
        <v>0.69570999866910344</v>
      </c>
      <c r="T33" s="31">
        <f t="shared" si="27"/>
        <v>0.77919519850939578</v>
      </c>
      <c r="U33" s="31">
        <f t="shared" si="27"/>
        <v>0.87269862233052342</v>
      </c>
      <c r="V33" s="31">
        <f t="shared" si="27"/>
        <v>0.97742245701018637</v>
      </c>
      <c r="W33" s="31">
        <f t="shared" si="27"/>
        <v>1.0947131518514086</v>
      </c>
      <c r="X33" s="31">
        <f t="shared" si="27"/>
        <v>1.2260787300735778</v>
      </c>
      <c r="Y33" s="31">
        <f t="shared" si="27"/>
        <v>1.3732081776824074</v>
      </c>
      <c r="Z33" s="31">
        <f t="shared" si="27"/>
        <v>1.5379931590042963</v>
      </c>
      <c r="AA33" s="31">
        <f t="shared" si="27"/>
        <v>1.722552338084812</v>
      </c>
      <c r="AB33" s="31">
        <f t="shared" si="27"/>
        <v>1.9292586186549894</v>
      </c>
      <c r="AC33" s="31">
        <f t="shared" si="27"/>
        <v>2.1607696528935882</v>
      </c>
      <c r="AD33" s="31">
        <f t="shared" si="27"/>
        <v>2.4200620112408195</v>
      </c>
      <c r="AE33" s="31">
        <f t="shared" si="27"/>
        <v>2.7104694525897175</v>
      </c>
      <c r="AF33" s="31">
        <f t="shared" si="27"/>
        <v>3.0357257869004837</v>
      </c>
      <c r="AG33" s="31">
        <f t="shared" si="27"/>
        <v>3.4000128813285424</v>
      </c>
      <c r="AH33" s="31">
        <f t="shared" si="27"/>
        <v>3.8080144270879672</v>
      </c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</row>
    <row r="34" spans="1:45">
      <c r="A34" s="2"/>
      <c r="B34" s="16" t="s">
        <v>47</v>
      </c>
      <c r="C34" s="36"/>
      <c r="D34" s="36">
        <f t="shared" ref="D34:G34" si="28">$B$11*$E$2*D33*100</f>
        <v>0</v>
      </c>
      <c r="E34" s="36">
        <f t="shared" si="28"/>
        <v>0</v>
      </c>
      <c r="F34" s="36">
        <f t="shared" si="28"/>
        <v>0</v>
      </c>
      <c r="G34" s="36">
        <f t="shared" si="28"/>
        <v>0</v>
      </c>
      <c r="H34" s="36">
        <f>$B$11*$E$2*H33*100</f>
        <v>153600</v>
      </c>
      <c r="I34" s="36">
        <f t="shared" ref="I34" si="29">$B$11*$E$2*I33*100</f>
        <v>172032.00000000003</v>
      </c>
      <c r="J34" s="36">
        <f t="shared" ref="J34" si="30">$B$11*$E$2*J33*100</f>
        <v>192675.84000000003</v>
      </c>
      <c r="K34" s="36">
        <f t="shared" ref="K34" si="31">$B$11*$E$2*K33*100</f>
        <v>215796.9408000001</v>
      </c>
      <c r="L34" s="36">
        <f t="shared" ref="L34:M34" si="32">$B$11*$E$2*L33*100</f>
        <v>241692.57369600009</v>
      </c>
      <c r="M34" s="36">
        <f t="shared" si="32"/>
        <v>270695.68253952009</v>
      </c>
      <c r="N34" s="36">
        <f t="shared" ref="N34" si="33">$B$11*$E$2*N33*100</f>
        <v>303179.16444426257</v>
      </c>
      <c r="O34" s="36">
        <f t="shared" ref="O34" si="34">$B$11*$E$2*O33*100</f>
        <v>339560.66417757404</v>
      </c>
      <c r="P34" s="36">
        <f t="shared" ref="P34" si="35">$B$11*$E$2*P33*100</f>
        <v>380307.94387888297</v>
      </c>
      <c r="Q34" s="36">
        <f t="shared" ref="Q34:R34" si="36">$B$11*$E$2*Q33*100</f>
        <v>425944.89714434894</v>
      </c>
      <c r="R34" s="36">
        <f t="shared" si="36"/>
        <v>477058.28480167082</v>
      </c>
      <c r="S34" s="36">
        <f t="shared" ref="S34" si="37">$B$11*$E$2*S33*100</f>
        <v>534305.27897787141</v>
      </c>
      <c r="T34" s="36">
        <f t="shared" ref="T34" si="38">$B$11*$E$2*T33*100</f>
        <v>598421.91245521593</v>
      </c>
      <c r="U34" s="36">
        <f t="shared" ref="U34" si="39">$B$11*$E$2*U33*100</f>
        <v>670232.54194984201</v>
      </c>
      <c r="V34" s="36">
        <f t="shared" ref="V34:W34" si="40">$B$11*$E$2*V33*100</f>
        <v>750660.44698382309</v>
      </c>
      <c r="W34" s="36">
        <f t="shared" si="40"/>
        <v>840739.70062188187</v>
      </c>
      <c r="X34" s="36">
        <f t="shared" ref="X34" si="41">$B$11*$E$2*X33*100</f>
        <v>941628.46469650778</v>
      </c>
      <c r="Y34" s="36">
        <f t="shared" ref="Y34" si="42">$B$11*$E$2*Y33*100</f>
        <v>1054623.8804600888</v>
      </c>
      <c r="Z34" s="36">
        <f t="shared" ref="Z34" si="43">$B$11*$E$2*Z33*100</f>
        <v>1181178.7461152994</v>
      </c>
      <c r="AA34" s="36">
        <f t="shared" ref="AA34:AB34" si="44">$B$11*$E$2*AA33*100</f>
        <v>1322920.1956491356</v>
      </c>
      <c r="AB34" s="36">
        <f t="shared" si="44"/>
        <v>1481670.6191270316</v>
      </c>
      <c r="AC34" s="36">
        <f t="shared" ref="AC34" si="45">$B$11*$E$2*AC33*100</f>
        <v>1659471.0934222755</v>
      </c>
      <c r="AD34" s="36">
        <f t="shared" ref="AD34" si="46">$B$11*$E$2*AD33*100</f>
        <v>1858607.6246329495</v>
      </c>
      <c r="AE34" s="36">
        <f t="shared" ref="AE34" si="47">$B$11*$E$2*AE33*100</f>
        <v>2081640.5395889028</v>
      </c>
      <c r="AF34" s="36">
        <f t="shared" ref="AF34:AG34" si="48">$B$11*$E$2*AF33*100</f>
        <v>2331437.4043395715</v>
      </c>
      <c r="AG34" s="36">
        <f t="shared" si="48"/>
        <v>2611209.8928603204</v>
      </c>
      <c r="AH34" s="36">
        <f t="shared" ref="AH34" si="49">$B$11*$E$2*AH33*100</f>
        <v>2924555.0800035587</v>
      </c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</row>
    <row r="35" spans="1:45" ht="30" customHeight="1">
      <c r="A35" s="2"/>
      <c r="B35" s="33" t="s">
        <v>43</v>
      </c>
      <c r="C35" s="41">
        <v>300000</v>
      </c>
      <c r="D35" s="41">
        <v>600000</v>
      </c>
      <c r="E35" s="41">
        <v>600000</v>
      </c>
      <c r="F35" s="41">
        <v>600000</v>
      </c>
      <c r="G35" s="41">
        <v>600000</v>
      </c>
      <c r="H35" s="41">
        <v>600000</v>
      </c>
      <c r="I35" s="41">
        <v>600000</v>
      </c>
      <c r="J35" s="41">
        <v>600000</v>
      </c>
      <c r="K35" s="41">
        <v>600000</v>
      </c>
      <c r="L35" s="42">
        <f>IF(M17&lt;L17,L27/(L16-$E$4),L27/L16)</f>
        <v>509819.78571758675</v>
      </c>
      <c r="M35" s="42">
        <f t="shared" ref="M35:AH35" si="50">IF(N17&lt;M17,M27/(M16-$E$4),M27/M16)</f>
        <v>557362.00370874733</v>
      </c>
      <c r="N35" s="42">
        <f t="shared" si="50"/>
        <v>612572.53394724813</v>
      </c>
      <c r="O35" s="42">
        <f t="shared" si="50"/>
        <v>665345.95813804865</v>
      </c>
      <c r="P35" s="42">
        <f t="shared" si="50"/>
        <v>691197.83804826438</v>
      </c>
      <c r="Q35" s="42">
        <f t="shared" si="50"/>
        <v>715439.37238653842</v>
      </c>
      <c r="R35" s="42">
        <f t="shared" si="50"/>
        <v>733357.38361466466</v>
      </c>
      <c r="S35" s="42">
        <f t="shared" si="50"/>
        <v>738231.5957100651</v>
      </c>
      <c r="T35" s="42">
        <f t="shared" si="50"/>
        <v>743105.80780546553</v>
      </c>
      <c r="U35" s="42">
        <f t="shared" si="50"/>
        <v>743105.80780546553</v>
      </c>
      <c r="V35" s="42">
        <f t="shared" si="50"/>
        <v>743105.80780546553</v>
      </c>
      <c r="W35" s="42">
        <f t="shared" si="50"/>
        <v>743105.80780546553</v>
      </c>
      <c r="X35" s="42">
        <f t="shared" si="50"/>
        <v>743105.80780546553</v>
      </c>
      <c r="Y35" s="42">
        <f t="shared" si="50"/>
        <v>743105.80780546553</v>
      </c>
      <c r="Z35" s="42">
        <f t="shared" si="50"/>
        <v>571619.8521580504</v>
      </c>
      <c r="AA35" s="42">
        <f>IF(AB17&lt;AA17,AA27/(AA16-$E$4),AA27/AA16)</f>
        <v>554011.79620208114</v>
      </c>
      <c r="AB35" s="42">
        <f t="shared" si="50"/>
        <v>536931.98192479124</v>
      </c>
      <c r="AC35" s="42">
        <f t="shared" si="50"/>
        <v>520364.56207581994</v>
      </c>
      <c r="AD35" s="42">
        <f t="shared" si="50"/>
        <v>504294.16482231778</v>
      </c>
      <c r="AE35" s="42">
        <f t="shared" si="50"/>
        <v>488705.87948642054</v>
      </c>
      <c r="AF35" s="42">
        <f t="shared" si="50"/>
        <v>471335.60635887715</v>
      </c>
      <c r="AG35" s="42">
        <f t="shared" si="50"/>
        <v>454486.44142516016</v>
      </c>
      <c r="AH35" s="42">
        <f t="shared" si="50"/>
        <v>438142.7514394545</v>
      </c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</row>
    <row r="36" spans="1:45" ht="29.25" customHeight="1">
      <c r="A36" s="2"/>
      <c r="B36" s="33" t="s">
        <v>20</v>
      </c>
      <c r="C36" s="18"/>
      <c r="D36" s="18">
        <f t="shared" ref="D36:N36" si="51">IF((C32+C34)&gt;C35,0,IF(D35&gt;(D32+D34),D29,D29+D32+D34)/D30)+D18/D30</f>
        <v>-7687.4597339519378</v>
      </c>
      <c r="E36" s="18">
        <f t="shared" si="51"/>
        <v>-7382.25343071514</v>
      </c>
      <c r="F36" s="18">
        <f t="shared" si="51"/>
        <v>-3928.302289477936</v>
      </c>
      <c r="G36" s="18">
        <f t="shared" si="51"/>
        <v>-282.26482640666399</v>
      </c>
      <c r="H36" s="18">
        <f t="shared" si="51"/>
        <v>5680.7816939021141</v>
      </c>
      <c r="I36" s="18">
        <f t="shared" si="51"/>
        <v>10601.052379114573</v>
      </c>
      <c r="J36" s="18">
        <f t="shared" si="51"/>
        <v>13792.456017422364</v>
      </c>
      <c r="K36" s="18">
        <f t="shared" si="51"/>
        <v>14963.162157306337</v>
      </c>
      <c r="L36" s="18">
        <f t="shared" si="51"/>
        <v>16214.76654977985</v>
      </c>
      <c r="M36" s="18">
        <f t="shared" si="51"/>
        <v>16167.160106336882</v>
      </c>
      <c r="N36" s="18">
        <f t="shared" si="51"/>
        <v>16266.644688797498</v>
      </c>
      <c r="O36" s="18">
        <f>IF((N32+N34)&gt;N35,0,IF(O35&gt;(O32+O34),O29,O29+O32+O34)/O30)+O18/O30</f>
        <v>16151.456569724525</v>
      </c>
      <c r="P36" s="18">
        <f t="shared" ref="P36:AH36" si="52">IF((O32+O34)&gt;O35,0,IF(P35&gt;(P32+P34),P29,P29+P32+P34)/P30)+P18/P30</f>
        <v>15384.962949431872</v>
      </c>
      <c r="Q36" s="18">
        <f t="shared" si="52"/>
        <v>14581.363911104858</v>
      </c>
      <c r="R36" s="18">
        <f t="shared" si="52"/>
        <v>13666.932823581627</v>
      </c>
      <c r="S36" s="18">
        <f t="shared" si="52"/>
        <v>12510.505424881403</v>
      </c>
      <c r="T36" s="18">
        <f t="shared" si="52"/>
        <v>163272.05439197522</v>
      </c>
      <c r="U36" s="18">
        <f t="shared" si="52"/>
        <v>0</v>
      </c>
      <c r="V36" s="18">
        <f t="shared" si="52"/>
        <v>0</v>
      </c>
      <c r="W36" s="18">
        <f t="shared" si="52"/>
        <v>0</v>
      </c>
      <c r="X36" s="18">
        <f t="shared" si="52"/>
        <v>0</v>
      </c>
      <c r="Y36" s="18">
        <f t="shared" si="52"/>
        <v>0</v>
      </c>
      <c r="Z36" s="18">
        <f t="shared" si="52"/>
        <v>0</v>
      </c>
      <c r="AA36" s="18">
        <f t="shared" si="52"/>
        <v>0</v>
      </c>
      <c r="AB36" s="18">
        <f t="shared" si="52"/>
        <v>0</v>
      </c>
      <c r="AC36" s="18">
        <f t="shared" si="52"/>
        <v>0</v>
      </c>
      <c r="AD36" s="18">
        <f t="shared" si="52"/>
        <v>0</v>
      </c>
      <c r="AE36" s="18">
        <f t="shared" si="52"/>
        <v>0</v>
      </c>
      <c r="AF36" s="18">
        <f t="shared" si="52"/>
        <v>0</v>
      </c>
      <c r="AG36" s="18">
        <f t="shared" si="52"/>
        <v>0</v>
      </c>
      <c r="AH36" s="18">
        <f t="shared" si="52"/>
        <v>0</v>
      </c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</row>
    <row r="37" spans="1:45">
      <c r="A37" s="2"/>
      <c r="B37" s="16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</row>
    <row r="38" spans="1:45">
      <c r="A38" s="2"/>
      <c r="B38" s="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</row>
    <row r="39" spans="1:45" ht="37.5">
      <c r="A39" s="34" t="s">
        <v>21</v>
      </c>
      <c r="B39" s="44">
        <f>IF(D30&gt;1,SUM(C36:AH36),IF(E30&gt;1,SUM(D36:AH36),IF(F30&gt;1,SUM(E36:AH36),IF(G30&gt;1,SUM(F36:AH36),IF(H30&gt;1,SUM(G36:AH36),IF(I30&gt;1,SUM(H36:AH36),IF(J30&gt;1,SUM(I36:AH36),IF(K30&gt;1,SUM(J36:AH36),IF(L30&gt;1,SUM(K36:AH36),SUM(L36:AH36))))))))))</f>
        <v>317660.47911675938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</row>
    <row r="40" spans="1:45">
      <c r="A40" s="2"/>
      <c r="B40" s="2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</row>
    <row r="41" spans="1:45">
      <c r="A41" s="2"/>
      <c r="B41" s="2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</row>
    <row r="42" spans="1:45">
      <c r="A42" s="2" t="s">
        <v>22</v>
      </c>
      <c r="B42" s="4">
        <v>0.42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</row>
    <row r="43" spans="1:45">
      <c r="A43" s="2" t="s">
        <v>23</v>
      </c>
      <c r="B43" s="4">
        <v>0.65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</row>
    <row r="44" spans="1:45">
      <c r="A44" s="2" t="s">
        <v>24</v>
      </c>
      <c r="B44" s="23">
        <f>1-B43</f>
        <v>0.35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</row>
    <row r="45" spans="1:45">
      <c r="A45" s="2" t="s">
        <v>25</v>
      </c>
      <c r="B45" s="15">
        <v>150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</row>
    <row r="46" spans="1:45">
      <c r="A46" s="2" t="s">
        <v>26</v>
      </c>
      <c r="B46" s="24">
        <f>B45*0.7</f>
        <v>105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</row>
    <row r="47" spans="1:45">
      <c r="A47" s="2" t="s">
        <v>27</v>
      </c>
      <c r="B47" s="27">
        <v>8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</row>
    <row r="48" spans="1:45">
      <c r="A48" s="2" t="s">
        <v>28</v>
      </c>
      <c r="B48" s="27">
        <v>8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</row>
    <row r="49" spans="1:45">
      <c r="A49" s="2" t="s">
        <v>29</v>
      </c>
      <c r="B49" s="27">
        <v>0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</row>
    <row r="50" spans="1:45">
      <c r="A50" s="2" t="s">
        <v>30</v>
      </c>
      <c r="B50" s="27">
        <v>0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</row>
    <row r="51" spans="1:45" ht="30.75" customHeight="1">
      <c r="A51" s="12" t="s">
        <v>31</v>
      </c>
      <c r="B51" s="26">
        <f>(B47+B48*B42+B42*B49+B42*B50)/B42</f>
        <v>27.047619047619047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</row>
    <row r="52" spans="1:45" ht="30.75">
      <c r="A52" s="12" t="s">
        <v>32</v>
      </c>
      <c r="B52" s="25">
        <f>(B42*B43*B45+B42*B44*B46)-B47-B48*B42-B42*B49-B42*B50</f>
        <v>45.025000000000006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</row>
    <row r="53" spans="1:4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</row>
    <row r="54" spans="1:4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</row>
    <row r="55" spans="1:4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</row>
    <row r="56" spans="1:4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</row>
    <row r="57" spans="1:4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</row>
    <row r="58" spans="1:4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</row>
    <row r="59" spans="1:4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</row>
    <row r="60" spans="1:4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</row>
    <row r="61" spans="1:4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</row>
    <row r="62" spans="1:4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</row>
    <row r="63" spans="1:4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</row>
    <row r="64" spans="1:4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</row>
    <row r="65" spans="1:4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</row>
    <row r="66" spans="1:4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</row>
    <row r="67" spans="1:4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</row>
    <row r="68" spans="1:4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</row>
    <row r="69" spans="1:4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</row>
    <row r="70" spans="1:4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</row>
    <row r="71" spans="1:4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</row>
    <row r="72" spans="1:4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</row>
    <row r="73" spans="1:4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</row>
    <row r="74" spans="1:4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</row>
    <row r="75" spans="1:4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</row>
    <row r="76" spans="1:4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</row>
    <row r="77" spans="1:4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</row>
    <row r="78" spans="1:4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</row>
    <row r="79" spans="1:4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</row>
    <row r="80" spans="1:4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</row>
    <row r="81" spans="1:4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</row>
    <row r="82" spans="1:4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</row>
    <row r="83" spans="1:4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</row>
    <row r="84" spans="1:4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</row>
    <row r="85" spans="1:4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</row>
    <row r="86" spans="1:4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</row>
    <row r="87" spans="1:4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</row>
    <row r="88" spans="1:4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</row>
    <row r="89" spans="1:4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</row>
    <row r="90" spans="1:4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</row>
    <row r="91" spans="1:4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</row>
    <row r="92" spans="1:4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</row>
    <row r="93" spans="1:4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</row>
    <row r="94" spans="1:4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</row>
    <row r="95" spans="1:4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</row>
    <row r="96" spans="1:4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</row>
    <row r="97" spans="1:4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</row>
    <row r="98" spans="1:4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</row>
    <row r="99" spans="1:4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</row>
    <row r="100" spans="1:4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</row>
    <row r="101" spans="1:4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Old Orchard Value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RomanOffice</dc:creator>
  <cp:lastModifiedBy>1</cp:lastModifiedBy>
  <dcterms:created xsi:type="dcterms:W3CDTF">2014-02-19T06:42:37Z</dcterms:created>
  <dcterms:modified xsi:type="dcterms:W3CDTF">2020-01-03T18:11:59Z</dcterms:modified>
</cp:coreProperties>
</file>